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0" yWindow="0" windowWidth="10020" windowHeight="4935" activeTab="0"/>
  </bookViews>
  <sheets>
    <sheet name="Berechnen" sheetId="1" r:id="rId1"/>
    <sheet name="Hinweis" sheetId="2" r:id="rId2"/>
    <sheet name="Lastfall" sheetId="3" r:id="rId3"/>
    <sheet name="Querschnitte" sheetId="4" r:id="rId4"/>
    <sheet name="Rm, Re" sheetId="5" r:id="rId5"/>
    <sheet name="ßk-Werte" sheetId="6" r:id="rId6"/>
  </sheets>
  <definedNames/>
  <calcPr fullCalcOnLoad="1"/>
</workbook>
</file>

<file path=xl/sharedStrings.xml><?xml version="1.0" encoding="utf-8"?>
<sst xmlns="http://schemas.openxmlformats.org/spreadsheetml/2006/main" count="310" uniqueCount="207">
  <si>
    <t xml:space="preserve"> Projekt-Nummer: ..............................................................</t>
  </si>
  <si>
    <t>Arb.Bl.:</t>
  </si>
  <si>
    <t>NYD-1L</t>
  </si>
  <si>
    <t xml:space="preserve"> Bearbeiter ..........................................................................</t>
  </si>
  <si>
    <t>Datum:</t>
  </si>
  <si>
    <t>Bemerkungen:</t>
  </si>
  <si>
    <t xml:space="preserve"> Dauerfestigkeitsnachweis (Welle)</t>
  </si>
  <si>
    <t xml:space="preserve"> </t>
  </si>
  <si>
    <t>alle Hinweise beziehen sich auf</t>
  </si>
  <si>
    <t>Roloff/Matek Maschinenelemente</t>
  </si>
  <si>
    <t>13. Auflage</t>
  </si>
  <si>
    <t>Querschnitt</t>
  </si>
  <si>
    <t>*** EINGABE ***</t>
  </si>
  <si>
    <t>1-1</t>
  </si>
  <si>
    <t>2-2</t>
  </si>
  <si>
    <t>Ermittlung der vorhandenen Spannung</t>
  </si>
  <si>
    <t>Belastungsdaten</t>
  </si>
  <si>
    <t>aufzunehmendes Drehmoment</t>
  </si>
  <si>
    <r>
      <t>T</t>
    </r>
    <r>
      <rPr>
        <vertAlign val="subscript"/>
        <sz val="12"/>
        <color indexed="8"/>
        <rFont val="Arial"/>
        <family val="2"/>
      </rPr>
      <t>nenn</t>
    </r>
  </si>
  <si>
    <t>Nm</t>
  </si>
  <si>
    <t>aufzunehmendes Biegemoment</t>
  </si>
  <si>
    <r>
      <t>M</t>
    </r>
    <r>
      <rPr>
        <vertAlign val="subscript"/>
        <sz val="12"/>
        <color indexed="8"/>
        <rFont val="Arial"/>
        <family val="2"/>
      </rPr>
      <t>nenn</t>
    </r>
  </si>
  <si>
    <t>Betriebsfaktor entspr. Belastungsverh.</t>
  </si>
  <si>
    <r>
      <t>c</t>
    </r>
    <r>
      <rPr>
        <vertAlign val="subscript"/>
        <sz val="12"/>
        <color indexed="8"/>
        <rFont val="Arial"/>
        <family val="2"/>
      </rPr>
      <t>B</t>
    </r>
  </si>
  <si>
    <t>(-)</t>
  </si>
  <si>
    <t xml:space="preserve">        Lastfall:   Torsion    II&lt;2&gt;  III&lt;3&gt;</t>
  </si>
  <si>
    <t xml:space="preserve">        Lastfall:   Biegung   II&lt;2&gt;  III&lt;3&gt;</t>
  </si>
  <si>
    <t>Geometriedaten</t>
  </si>
  <si>
    <t xml:space="preserve">Querschnitt nach TB11-3   Zeile   1,2,3,4 </t>
  </si>
  <si>
    <t>Durchmesser (mm)</t>
  </si>
  <si>
    <t>D</t>
  </si>
  <si>
    <t>d</t>
  </si>
  <si>
    <t>maßgeb. Widerstandsmoment (mm³)</t>
  </si>
  <si>
    <t>W</t>
  </si>
  <si>
    <r>
      <t>W</t>
    </r>
    <r>
      <rPr>
        <vertAlign val="subscript"/>
        <sz val="12"/>
        <color indexed="8"/>
        <rFont val="Arial"/>
        <family val="2"/>
      </rPr>
      <t>p</t>
    </r>
  </si>
  <si>
    <t>vorhandene Biegespannung     (N/mm²)</t>
  </si>
  <si>
    <r>
      <t>s</t>
    </r>
    <r>
      <rPr>
        <vertAlign val="subscript"/>
        <sz val="12"/>
        <color indexed="8"/>
        <rFont val="Arial"/>
        <family val="2"/>
      </rPr>
      <t>b</t>
    </r>
  </si>
  <si>
    <t>vorhandene Torsionsspannung (N/mm²)</t>
  </si>
  <si>
    <r>
      <t>t</t>
    </r>
    <r>
      <rPr>
        <vertAlign val="subscript"/>
        <sz val="12"/>
        <color indexed="8"/>
        <rFont val="Arial"/>
        <family val="2"/>
      </rPr>
      <t>t</t>
    </r>
  </si>
  <si>
    <t>Anstrengungsverhältnis</t>
  </si>
  <si>
    <r>
      <t>a</t>
    </r>
    <r>
      <rPr>
        <vertAlign val="subscript"/>
        <sz val="12"/>
        <color indexed="8"/>
        <rFont val="Arial"/>
        <family val="2"/>
      </rPr>
      <t>0</t>
    </r>
  </si>
  <si>
    <t>vorhandene Vergleichsspannung (N/mm²)</t>
  </si>
  <si>
    <r>
      <t>s</t>
    </r>
    <r>
      <rPr>
        <vertAlign val="subscript"/>
        <sz val="12"/>
        <color indexed="8"/>
        <rFont val="Arial"/>
        <family val="2"/>
      </rPr>
      <t>v</t>
    </r>
  </si>
  <si>
    <t>Ermittlung der Gestaltfestigkeit</t>
  </si>
  <si>
    <t>Werkstoffdaten</t>
  </si>
  <si>
    <t>Stahlart:</t>
  </si>
  <si>
    <r>
      <t xml:space="preserve">Baustahl </t>
    </r>
    <r>
      <rPr>
        <b/>
        <sz val="10"/>
        <color indexed="8"/>
        <rFont val="Arial"/>
        <family val="0"/>
      </rPr>
      <t>&lt;1&gt;</t>
    </r>
    <r>
      <rPr>
        <sz val="10"/>
        <color indexed="8"/>
        <rFont val="Arial"/>
        <family val="2"/>
      </rPr>
      <t xml:space="preserve"> Verg- </t>
    </r>
    <r>
      <rPr>
        <b/>
        <sz val="10"/>
        <color indexed="8"/>
        <rFont val="Arial"/>
        <family val="0"/>
      </rPr>
      <t>&lt;2&gt;</t>
    </r>
    <r>
      <rPr>
        <sz val="10"/>
        <color indexed="8"/>
        <rFont val="Arial"/>
        <family val="2"/>
      </rPr>
      <t xml:space="preserve"> Eins.Stahl </t>
    </r>
    <r>
      <rPr>
        <b/>
        <sz val="10"/>
        <color indexed="8"/>
        <rFont val="Arial"/>
        <family val="0"/>
      </rPr>
      <t>&lt;3&gt;</t>
    </r>
  </si>
  <si>
    <t>Zugfestigkeit nach   TB1-4</t>
  </si>
  <si>
    <r>
      <t>R</t>
    </r>
    <r>
      <rPr>
        <vertAlign val="subscript"/>
        <sz val="12"/>
        <color indexed="8"/>
        <rFont val="Arial"/>
        <family val="2"/>
      </rPr>
      <t>m</t>
    </r>
  </si>
  <si>
    <t>N/mm²</t>
  </si>
  <si>
    <t>Streckgrenze  nach TB1-4</t>
  </si>
  <si>
    <r>
      <t>R</t>
    </r>
    <r>
      <rPr>
        <vertAlign val="subscript"/>
        <sz val="12"/>
        <color indexed="8"/>
        <rFont val="Arial"/>
        <family val="2"/>
      </rPr>
      <t>e</t>
    </r>
  </si>
  <si>
    <t>Dauerfestigkeit =f(Lastfall) (N/mm²)</t>
  </si>
  <si>
    <r>
      <t>s</t>
    </r>
    <r>
      <rPr>
        <vertAlign val="subscript"/>
        <sz val="12"/>
        <color indexed="8"/>
        <rFont val="Arial"/>
        <family val="2"/>
      </rPr>
      <t>O</t>
    </r>
  </si>
  <si>
    <t>zusätzliche Geometriedaten</t>
  </si>
  <si>
    <t>maßgebender Durchmesser  (mm)</t>
  </si>
  <si>
    <t>d(D)</t>
  </si>
  <si>
    <t>Rauhtiefe (µm)</t>
  </si>
  <si>
    <r>
      <t>R</t>
    </r>
    <r>
      <rPr>
        <vertAlign val="subscript"/>
        <sz val="12"/>
        <color indexed="8"/>
        <rFont val="Arial"/>
        <family val="2"/>
      </rPr>
      <t>z</t>
    </r>
  </si>
  <si>
    <t>µm</t>
  </si>
  <si>
    <t xml:space="preserve">Kerbwirkungszahl </t>
  </si>
  <si>
    <r>
      <t>ß</t>
    </r>
    <r>
      <rPr>
        <vertAlign val="subscript"/>
        <sz val="12"/>
        <color indexed="8"/>
        <rFont val="Arial"/>
        <family val="2"/>
      </rPr>
      <t>k</t>
    </r>
  </si>
  <si>
    <r>
      <t>Gesamteinflußgröße =b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*b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/ß</t>
    </r>
    <r>
      <rPr>
        <vertAlign val="subscript"/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 </t>
    </r>
  </si>
  <si>
    <t>g</t>
  </si>
  <si>
    <t xml:space="preserve">Gestaltfestigkeit=f(Lastfall)  (N/mm²) </t>
  </si>
  <si>
    <r>
      <t>s</t>
    </r>
    <r>
      <rPr>
        <vertAlign val="subscript"/>
        <sz val="12"/>
        <color indexed="8"/>
        <rFont val="Arial"/>
        <family val="2"/>
      </rPr>
      <t>G</t>
    </r>
  </si>
  <si>
    <t>vorh. Sicherheit gegen Dauerbruch</t>
  </si>
  <si>
    <r>
      <t>n</t>
    </r>
    <r>
      <rPr>
        <b/>
        <vertAlign val="subscript"/>
        <sz val="10"/>
        <color indexed="8"/>
        <rFont val="Arial"/>
        <family val="2"/>
      </rPr>
      <t>D</t>
    </r>
    <r>
      <rPr>
        <b/>
        <sz val="10"/>
        <color indexed="8"/>
        <rFont val="Arial"/>
        <family val="0"/>
      </rPr>
      <t xml:space="preserve"> =</t>
    </r>
  </si>
  <si>
    <r>
      <t>n</t>
    </r>
    <r>
      <rPr>
        <b/>
        <vertAlign val="subscript"/>
        <sz val="10"/>
        <color indexed="8"/>
        <rFont val="Arial"/>
        <family val="2"/>
      </rPr>
      <t>D</t>
    </r>
    <r>
      <rPr>
        <b/>
        <sz val="10"/>
        <color indexed="8"/>
        <rFont val="Arial"/>
        <family val="2"/>
      </rPr>
      <t xml:space="preserve"> =</t>
    </r>
  </si>
  <si>
    <t>-</t>
  </si>
  <si>
    <t>vorhandene Biegespannung</t>
  </si>
  <si>
    <t>vorhandene Torsionsspannung</t>
  </si>
  <si>
    <t>vorhandene Vergleichsspannung</t>
  </si>
  <si>
    <t>Dauerfestigkeit=f(Lastfall)</t>
  </si>
  <si>
    <r>
      <t>Gesamteinflußgröße=b</t>
    </r>
    <r>
      <rPr>
        <vertAlign val="subscript"/>
        <sz val="12"/>
        <color indexed="8"/>
        <rFont val="Arial"/>
        <family val="2"/>
      </rPr>
      <t>2</t>
    </r>
    <r>
      <rPr>
        <sz val="10"/>
        <color indexed="8"/>
        <rFont val="Arial"/>
        <family val="0"/>
      </rPr>
      <t>*b</t>
    </r>
    <r>
      <rPr>
        <vertAlign val="subscript"/>
        <sz val="12"/>
        <color indexed="8"/>
        <rFont val="Arial"/>
        <family val="2"/>
      </rPr>
      <t>2</t>
    </r>
    <r>
      <rPr>
        <sz val="10"/>
        <color indexed="8"/>
        <rFont val="Arial"/>
        <family val="0"/>
      </rPr>
      <t>/ß</t>
    </r>
    <r>
      <rPr>
        <vertAlign val="subscript"/>
        <sz val="12"/>
        <color indexed="8"/>
        <rFont val="Arial"/>
        <family val="2"/>
      </rPr>
      <t>k</t>
    </r>
  </si>
  <si>
    <t>Gestaltfestigkeit</t>
  </si>
  <si>
    <r>
      <t>n</t>
    </r>
    <r>
      <rPr>
        <vertAlign val="subscript"/>
        <sz val="12"/>
        <color indexed="8"/>
        <rFont val="Arial"/>
        <family val="2"/>
      </rPr>
      <t>D</t>
    </r>
    <r>
      <rPr>
        <sz val="10"/>
        <color indexed="8"/>
        <rFont val="Arial"/>
        <family val="0"/>
      </rPr>
      <t>=</t>
    </r>
  </si>
  <si>
    <t>Hilfsgrößen</t>
  </si>
  <si>
    <t>Dauerfestigkeitswerte (ca.-Werte)</t>
  </si>
  <si>
    <t>Fließgrenze                   (N/mm²)   (I)</t>
  </si>
  <si>
    <t>Schwellfestigkeit            (N/mm²)   (II)</t>
  </si>
  <si>
    <t>Wechselfestigkeit           (N/mm²)   (III)</t>
  </si>
  <si>
    <t>maßgebender Kappa-Wert</t>
  </si>
  <si>
    <t xml:space="preserve">obere Grenzsp. (N/mm²)    =f(Kappa) </t>
  </si>
  <si>
    <t>Ausschlagfest.  (N/mm²)    =f(Kappa)</t>
  </si>
  <si>
    <t>Gestaltfestigkeitswerte (ca.-Werte)</t>
  </si>
  <si>
    <t xml:space="preserve">für Spannungsverhältnis Kappa </t>
  </si>
  <si>
    <t>Ausschlagfest. (N/mm²)     =f(Kappa)</t>
  </si>
  <si>
    <t xml:space="preserve">Hilfsgrößen Ermittlung von T, M, Mv </t>
  </si>
  <si>
    <t>maßg.Beanspr. aufgrund T und M</t>
  </si>
  <si>
    <t xml:space="preserve">         Bieg.&lt;2&gt;  Tors.&lt;3&gt;    </t>
  </si>
  <si>
    <t>maßg.Lastfall aufgrund T und M</t>
  </si>
  <si>
    <t xml:space="preserve">      Lastfall II &lt;2&gt;  III &lt;3&gt;</t>
  </si>
  <si>
    <t xml:space="preserve">   schwell&lt;0&gt; wechselnd &lt;-.9999&gt;</t>
  </si>
  <si>
    <t xml:space="preserve">Hilfsgrößen zur Ermittlg von W, Wp </t>
  </si>
  <si>
    <t>TB11-3, Zeile 1 (mm³)           W</t>
  </si>
  <si>
    <t>TB11-3, Zeile 1 (mm³)           Wp</t>
  </si>
  <si>
    <t>TB11-3, Zeile 2 (mm³)           W</t>
  </si>
  <si>
    <t>TB11-3, Zeile 2 (mm³)           Wp</t>
  </si>
  <si>
    <t>TB11-3, Zeile 3 (mm³)           W</t>
  </si>
  <si>
    <t>TB11-3, Zeile 3 (mm³)           Wp</t>
  </si>
  <si>
    <t>TB11-3, Zeile 4 (mm³)           W</t>
  </si>
  <si>
    <t>TB11-3, Zeile 4 (mm³)           Wp</t>
  </si>
  <si>
    <t>maßg. Widerst.Moment (mm³) .... W</t>
  </si>
  <si>
    <t>maßg. Widerst.Moment (mm³) .... Wp</t>
  </si>
  <si>
    <t xml:space="preserve">Hilfsgrößen Dauerfestigkeit </t>
  </si>
  <si>
    <t>Gl. 3.10a  sigma-O=f(Kappa)</t>
  </si>
  <si>
    <t>Gl. 3.10a' sigma(F)=K2*Re</t>
  </si>
  <si>
    <t>Gl. 3.10b' sigma(F)=K2*Re</t>
  </si>
  <si>
    <t>Faktor K1 (Baustahl)</t>
  </si>
  <si>
    <t>Faktor K1 (Vergütungsstahl)</t>
  </si>
  <si>
    <t>Faktor K1 (Einsatzstahl)</t>
  </si>
  <si>
    <t>maßgebender Faktor K1    (TB3-1)</t>
  </si>
  <si>
    <t>Faktor K2 (Baustahl)</t>
  </si>
  <si>
    <t>Faktor K2 (Vergütungsstahl)</t>
  </si>
  <si>
    <t>Faktor K2 (Einsatzstahl)</t>
  </si>
  <si>
    <t>maßgebender Faktor K2    (TB3-1)</t>
  </si>
  <si>
    <t>Fließgrenze'</t>
  </si>
  <si>
    <t>Wechselfestigkeit'</t>
  </si>
  <si>
    <t>Schwellfestigkeit'</t>
  </si>
  <si>
    <t xml:space="preserve">Hilfsgrößen Gestaltfestigkeit </t>
  </si>
  <si>
    <t>b1(sigma)                (TB3-11)</t>
  </si>
  <si>
    <t>b1(tau)</t>
  </si>
  <si>
    <t>b1'</t>
  </si>
  <si>
    <t>maßg. Oberflächenbeiwert       b1</t>
  </si>
  <si>
    <t>kt(Baustähle)            (TB3-12a)</t>
  </si>
  <si>
    <t>kt(Vergütungs- u.Einsatzstähle)</t>
  </si>
  <si>
    <t>kt'</t>
  </si>
  <si>
    <t>maßg. techn.Größenbeiwert      kt</t>
  </si>
  <si>
    <t>kg(zug)                  (TB3-12b)</t>
  </si>
  <si>
    <t>kg(Biegung/Torsion)</t>
  </si>
  <si>
    <t>kg'</t>
  </si>
  <si>
    <t>maßg. geom. Größenbeiwert      kg</t>
  </si>
  <si>
    <t>formzahlabh. Größenbeiwert     kalpha</t>
  </si>
  <si>
    <t>maßg.Größenbeiwert n.Gl(3.18)  b2</t>
  </si>
  <si>
    <t xml:space="preserve">            Baustähle</t>
  </si>
  <si>
    <t xml:space="preserve">      Vergütungsstähle</t>
  </si>
  <si>
    <t xml:space="preserve">           Einsatzstähle</t>
  </si>
  <si>
    <r>
      <t>R</t>
    </r>
    <r>
      <rPr>
        <b/>
        <vertAlign val="subscript"/>
        <sz val="10"/>
        <color indexed="8"/>
        <rFont val="Arial"/>
        <family val="2"/>
      </rPr>
      <t>m</t>
    </r>
  </si>
  <si>
    <r>
      <t>R</t>
    </r>
    <r>
      <rPr>
        <b/>
        <vertAlign val="subscript"/>
        <sz val="10"/>
        <color indexed="8"/>
        <rFont val="Arial"/>
        <family val="2"/>
      </rPr>
      <t>e</t>
    </r>
  </si>
  <si>
    <t>St37-2</t>
  </si>
  <si>
    <t>C22</t>
  </si>
  <si>
    <t>C10</t>
  </si>
  <si>
    <t>St44-2</t>
  </si>
  <si>
    <t>C45</t>
  </si>
  <si>
    <t>C15</t>
  </si>
  <si>
    <t>St50-2</t>
  </si>
  <si>
    <t>C60</t>
  </si>
  <si>
    <t>17Cr3</t>
  </si>
  <si>
    <t>St60-2</t>
  </si>
  <si>
    <t>46Cr2</t>
  </si>
  <si>
    <t>16MnCr5</t>
  </si>
  <si>
    <t>St70-2</t>
  </si>
  <si>
    <t>41Cr4</t>
  </si>
  <si>
    <t>20MnCr5</t>
  </si>
  <si>
    <t>25CrMo4</t>
  </si>
  <si>
    <t>20MoCr5</t>
  </si>
  <si>
    <t>42CrMo4</t>
  </si>
  <si>
    <t>15CrNi6</t>
  </si>
  <si>
    <t>50CrMo4</t>
  </si>
  <si>
    <t>17CrNiMo6</t>
  </si>
  <si>
    <t>30CrNiMo8</t>
  </si>
  <si>
    <t>Kerbform</t>
  </si>
  <si>
    <t>Biegung</t>
  </si>
  <si>
    <t>Torsion</t>
  </si>
  <si>
    <t>(ca.-Werte)</t>
  </si>
  <si>
    <r>
      <t>ß</t>
    </r>
    <r>
      <rPr>
        <b/>
        <vertAlign val="subscript"/>
        <sz val="10"/>
        <color indexed="8"/>
        <rFont val="Arial"/>
        <family val="2"/>
      </rPr>
      <t>kb</t>
    </r>
  </si>
  <si>
    <r>
      <t>ß</t>
    </r>
    <r>
      <rPr>
        <b/>
        <vertAlign val="subscript"/>
        <sz val="10"/>
        <color indexed="8"/>
        <rFont val="Arial"/>
        <family val="2"/>
      </rPr>
      <t>kt</t>
    </r>
  </si>
  <si>
    <t>Hinterdrehung in Welle (Rundkerbe)</t>
  </si>
  <si>
    <t>300...800</t>
  </si>
  <si>
    <t>1,2...1,8</t>
  </si>
  <si>
    <t>1,1...2,0</t>
  </si>
  <si>
    <t>generell gilt:</t>
  </si>
  <si>
    <t>Eindrehung für Sicherungsring in Welle</t>
  </si>
  <si>
    <t>2,0...3,5</t>
  </si>
  <si>
    <t>2,2...3,0</t>
  </si>
  <si>
    <t>der Kerbeinfluß (und damit auch</t>
  </si>
  <si>
    <t>abgesetzte Welle (Lagerzapfen)</t>
  </si>
  <si>
    <t>300..1200</t>
  </si>
  <si>
    <t>1,2...3,0</t>
  </si>
  <si>
    <r>
      <t>die Kerbwirkungszahl ß</t>
    </r>
    <r>
      <rPr>
        <vertAlign val="subscript"/>
        <sz val="10"/>
        <color indexed="8"/>
        <rFont val="Arial"/>
        <family val="0"/>
      </rPr>
      <t>k</t>
    </r>
    <r>
      <rPr>
        <sz val="10"/>
        <color indexed="8"/>
        <rFont val="Arial"/>
        <family val="0"/>
      </rPr>
      <t>) wird</t>
    </r>
  </si>
  <si>
    <t>Querbohrung in Rundstab (d/D=0,15...0,5)</t>
  </si>
  <si>
    <t>1,3...2,0</t>
  </si>
  <si>
    <t>1,2...2,1</t>
  </si>
  <si>
    <t>umso größer, je</t>
  </si>
  <si>
    <t>Paßfedernut in Welle (Schaftfräser)</t>
  </si>
  <si>
    <t>1,8...2,5</t>
  </si>
  <si>
    <t>1,5...2,0</t>
  </si>
  <si>
    <r>
      <t>- höher die Zugfestigkeit R</t>
    </r>
    <r>
      <rPr>
        <vertAlign val="subscript"/>
        <sz val="10"/>
        <color indexed="8"/>
        <rFont val="Arial"/>
        <family val="0"/>
      </rPr>
      <t>m</t>
    </r>
    <r>
      <rPr>
        <sz val="10"/>
        <color indexed="8"/>
        <rFont val="Arial"/>
        <family val="0"/>
      </rPr>
      <t>,</t>
    </r>
  </si>
  <si>
    <t>Paßfedernut in Welle (Scheibenfräser)</t>
  </si>
  <si>
    <t>1,6...2,3</t>
  </si>
  <si>
    <t>1,4...1,8</t>
  </si>
  <si>
    <t>- kleiner der Kerbradius r,</t>
  </si>
  <si>
    <t>Keilwelle (parallele Flanken)</t>
  </si>
  <si>
    <t>1,6...2,2</t>
  </si>
  <si>
    <t>- allgemein je "giftiger" die Kerbe.</t>
  </si>
  <si>
    <t>Keilwelle (Evolventenflanken)</t>
  </si>
  <si>
    <t>1,1...1,8</t>
  </si>
  <si>
    <t>1,1...1,6</t>
  </si>
  <si>
    <t>Kerbzahnwelle</t>
  </si>
  <si>
    <t>1,1...1,9</t>
  </si>
  <si>
    <t>Preßverband</t>
  </si>
  <si>
    <t>400...800</t>
  </si>
  <si>
    <t>1,2...1,6</t>
  </si>
  <si>
    <t>Kegelspannring</t>
  </si>
  <si>
    <t>Christian</t>
  </si>
  <si>
    <t>Mendera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</si>
</sst>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m/d/yy"/>
    <numFmt numFmtId="169" formatCode="d\-mmm\-yy"/>
    <numFmt numFmtId="170" formatCode="d\-mmm"/>
    <numFmt numFmtId="171" formatCode="mmm\-yy"/>
    <numFmt numFmtId="172" formatCode="h:mm"/>
    <numFmt numFmtId="173" formatCode="h:mm:ss"/>
    <numFmt numFmtId="174" formatCode="m/d/yy\ h:mm"/>
    <numFmt numFmtId="175" formatCode="m/d"/>
    <numFmt numFmtId="176" formatCode="0.000"/>
  </numFmts>
  <fonts count="28"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0"/>
      <color indexed="24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0"/>
    </font>
    <font>
      <vertAlign val="subscript"/>
      <sz val="10"/>
      <color indexed="8"/>
      <name val="Arial"/>
      <family val="2"/>
    </font>
    <font>
      <b/>
      <sz val="10"/>
      <color indexed="8"/>
      <name val="Symbol"/>
      <family val="1"/>
    </font>
    <font>
      <b/>
      <vertAlign val="subscript"/>
      <sz val="10"/>
      <color indexed="8"/>
      <name val="Arial"/>
      <family val="2"/>
    </font>
    <font>
      <vertAlign val="subscript"/>
      <sz val="12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2"/>
      <color indexed="8"/>
      <name val="Symbol"/>
      <family val="1"/>
    </font>
    <font>
      <b/>
      <i/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6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2" borderId="5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3" borderId="6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3" borderId="8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3" borderId="7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" borderId="16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14" fillId="4" borderId="23" xfId="0" applyFont="1" applyFill="1" applyBorder="1" applyAlignment="1">
      <alignment/>
    </xf>
    <xf numFmtId="0" fontId="0" fillId="2" borderId="0" xfId="0" applyFill="1" applyBorder="1" applyAlignment="1">
      <alignment/>
    </xf>
    <xf numFmtId="0" fontId="14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7" fillId="5" borderId="23" xfId="0" applyFont="1" applyFill="1" applyBorder="1" applyAlignment="1">
      <alignment horizontal="centerContinuous"/>
    </xf>
    <xf numFmtId="0" fontId="12" fillId="5" borderId="21" xfId="0" applyFont="1" applyFill="1" applyBorder="1" applyAlignment="1">
      <alignment horizontal="centerContinuous"/>
    </xf>
    <xf numFmtId="0" fontId="0" fillId="5" borderId="21" xfId="0" applyFill="1" applyBorder="1" applyAlignment="1">
      <alignment horizontal="centerContinuous"/>
    </xf>
    <xf numFmtId="0" fontId="7" fillId="5" borderId="24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Continuous"/>
    </xf>
    <xf numFmtId="0" fontId="7" fillId="5" borderId="5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6" fillId="2" borderId="23" xfId="0" applyFont="1" applyFill="1" applyBorder="1" applyAlignment="1">
      <alignment/>
    </xf>
    <xf numFmtId="0" fontId="13" fillId="6" borderId="21" xfId="0" applyFont="1" applyFill="1" applyBorder="1" applyAlignment="1" applyProtection="1">
      <alignment horizontal="centerContinuous"/>
      <protection locked="0"/>
    </xf>
    <xf numFmtId="0" fontId="6" fillId="2" borderId="17" xfId="0" applyFont="1" applyFill="1" applyBorder="1" applyAlignment="1">
      <alignment/>
    </xf>
    <xf numFmtId="0" fontId="13" fillId="6" borderId="15" xfId="0" applyFont="1" applyFill="1" applyBorder="1" applyAlignment="1" applyProtection="1">
      <alignment horizontal="centerContinuous"/>
      <protection locked="0"/>
    </xf>
    <xf numFmtId="0" fontId="6" fillId="2" borderId="22" xfId="0" applyFont="1" applyFill="1" applyBorder="1" applyAlignment="1" applyProtection="1">
      <alignment horizontal="center"/>
      <protection locked="0"/>
    </xf>
    <xf numFmtId="169" fontId="6" fillId="2" borderId="2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29" xfId="0" applyFont="1" applyFill="1" applyBorder="1" applyAlignment="1">
      <alignment/>
    </xf>
    <xf numFmtId="0" fontId="4" fillId="4" borderId="16" xfId="0" applyFont="1" applyFill="1" applyBorder="1" applyAlignment="1" quotePrefix="1">
      <alignment/>
    </xf>
    <xf numFmtId="0" fontId="4" fillId="4" borderId="1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4" fillId="4" borderId="28" xfId="0" applyFont="1" applyFill="1" applyBorder="1" applyAlignment="1">
      <alignment/>
    </xf>
    <xf numFmtId="0" fontId="20" fillId="0" borderId="0" xfId="0" applyFont="1" applyBorder="1" applyAlignment="1">
      <alignment/>
    </xf>
    <xf numFmtId="0" fontId="21" fillId="2" borderId="0" xfId="0" applyFont="1" applyFill="1" applyBorder="1" applyAlignment="1">
      <alignment horizontal="centerContinuous"/>
    </xf>
    <xf numFmtId="0" fontId="22" fillId="2" borderId="0" xfId="0" applyFont="1" applyFill="1" applyBorder="1" applyAlignment="1">
      <alignment horizontal="centerContinuous"/>
    </xf>
    <xf numFmtId="0" fontId="20" fillId="2" borderId="0" xfId="0" applyFont="1" applyFill="1" applyBorder="1" applyAlignment="1">
      <alignment horizontal="centerContinuous"/>
    </xf>
    <xf numFmtId="0" fontId="21" fillId="2" borderId="0" xfId="0" applyFont="1" applyFill="1" applyBorder="1" applyAlignment="1" applyProtection="1">
      <alignment horizontal="centerContinuous"/>
      <protection locked="0"/>
    </xf>
    <xf numFmtId="0" fontId="4" fillId="3" borderId="21" xfId="0" applyFont="1" applyFill="1" applyBorder="1" applyAlignment="1">
      <alignment/>
    </xf>
    <xf numFmtId="0" fontId="4" fillId="3" borderId="22" xfId="0" applyFont="1" applyFill="1" applyBorder="1" applyAlignment="1">
      <alignment/>
    </xf>
    <xf numFmtId="0" fontId="4" fillId="7" borderId="23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Continuous"/>
    </xf>
    <xf numFmtId="0" fontId="4" fillId="7" borderId="22" xfId="0" applyFont="1" applyFill="1" applyBorder="1" applyAlignment="1">
      <alignment horizontal="centerContinuous"/>
    </xf>
    <xf numFmtId="0" fontId="6" fillId="7" borderId="0" xfId="0" applyFont="1" applyFill="1" applyBorder="1" applyAlignment="1" quotePrefix="1">
      <alignment horizontal="centerContinuous"/>
    </xf>
    <xf numFmtId="0" fontId="4" fillId="7" borderId="29" xfId="0" applyFont="1" applyFill="1" applyBorder="1" applyAlignment="1">
      <alignment horizontal="centerContinuous"/>
    </xf>
    <xf numFmtId="0" fontId="4" fillId="7" borderId="17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11" fillId="2" borderId="29" xfId="0" applyFont="1" applyFill="1" applyBorder="1" applyAlignment="1">
      <alignment/>
    </xf>
    <xf numFmtId="0" fontId="11" fillId="2" borderId="30" xfId="0" applyFont="1" applyFill="1" applyBorder="1" applyAlignment="1">
      <alignment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6" fillId="7" borderId="31" xfId="0" applyFont="1" applyFill="1" applyBorder="1" applyAlignment="1">
      <alignment horizontal="centerContinuous"/>
    </xf>
    <xf numFmtId="16" fontId="6" fillId="7" borderId="6" xfId="0" applyNumberFormat="1" applyFont="1" applyFill="1" applyBorder="1" applyAlignment="1" quotePrefix="1">
      <alignment horizontal="centerContinuous"/>
    </xf>
    <xf numFmtId="0" fontId="4" fillId="7" borderId="32" xfId="0" applyFont="1" applyFill="1" applyBorder="1" applyAlignment="1">
      <alignment horizontal="centerContinuous"/>
    </xf>
    <xf numFmtId="0" fontId="4" fillId="7" borderId="28" xfId="0" applyFont="1" applyFill="1" applyBorder="1" applyAlignment="1">
      <alignment horizontal="centerContinuous"/>
    </xf>
    <xf numFmtId="0" fontId="6" fillId="8" borderId="33" xfId="0" applyFont="1" applyFill="1" applyBorder="1" applyAlignment="1">
      <alignment horizontal="centerContinuous"/>
    </xf>
    <xf numFmtId="0" fontId="4" fillId="8" borderId="34" xfId="0" applyFont="1" applyFill="1" applyBorder="1" applyAlignment="1">
      <alignment horizontal="centerContinuous"/>
    </xf>
    <xf numFmtId="0" fontId="4" fillId="8" borderId="35" xfId="0" applyFont="1" applyFill="1" applyBorder="1" applyAlignment="1">
      <alignment horizontal="centerContinuous"/>
    </xf>
    <xf numFmtId="0" fontId="11" fillId="2" borderId="29" xfId="0" applyFont="1" applyFill="1" applyBorder="1" applyAlignment="1">
      <alignment horizontal="center"/>
    </xf>
    <xf numFmtId="0" fontId="4" fillId="2" borderId="26" xfId="0" applyFont="1" applyFill="1" applyBorder="1" applyAlignment="1">
      <alignment/>
    </xf>
    <xf numFmtId="3" fontId="4" fillId="2" borderId="29" xfId="0" applyNumberFormat="1" applyFont="1" applyFill="1" applyBorder="1" applyAlignment="1">
      <alignment horizontal="center"/>
    </xf>
    <xf numFmtId="3" fontId="4" fillId="2" borderId="29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6" fillId="2" borderId="21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8" borderId="34" xfId="0" applyFont="1" applyFill="1" applyBorder="1" applyAlignment="1">
      <alignment horizontal="centerContinuous"/>
    </xf>
    <xf numFmtId="0" fontId="6" fillId="2" borderId="16" xfId="0" applyFont="1" applyFill="1" applyBorder="1" applyAlignment="1">
      <alignment/>
    </xf>
    <xf numFmtId="0" fontId="7" fillId="9" borderId="0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Continuous"/>
    </xf>
    <xf numFmtId="0" fontId="4" fillId="7" borderId="2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13" fillId="6" borderId="31" xfId="0" applyFont="1" applyFill="1" applyBorder="1" applyAlignment="1" applyProtection="1">
      <alignment horizontal="centerContinuous"/>
      <protection locked="0"/>
    </xf>
    <xf numFmtId="0" fontId="13" fillId="6" borderId="32" xfId="0" applyFont="1" applyFill="1" applyBorder="1" applyAlignment="1" applyProtection="1">
      <alignment horizontal="centerContinuous"/>
      <protection locked="0"/>
    </xf>
    <xf numFmtId="0" fontId="7" fillId="3" borderId="31" xfId="0" applyFont="1" applyFill="1" applyBorder="1" applyAlignment="1">
      <alignment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4" fillId="2" borderId="31" xfId="0" applyFont="1" applyFill="1" applyBorder="1" applyAlignment="1">
      <alignment/>
    </xf>
    <xf numFmtId="0" fontId="10" fillId="2" borderId="6" xfId="0" applyFont="1" applyFill="1" applyBorder="1" applyAlignment="1" applyProtection="1">
      <alignment/>
      <protection locked="0"/>
    </xf>
    <xf numFmtId="0" fontId="10" fillId="2" borderId="7" xfId="0" applyFont="1" applyFill="1" applyBorder="1" applyAlignment="1" applyProtection="1">
      <alignment/>
      <protection locked="0"/>
    </xf>
    <xf numFmtId="0" fontId="4" fillId="2" borderId="5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23" fillId="10" borderId="15" xfId="0" applyFont="1" applyFill="1" applyBorder="1" applyAlignment="1">
      <alignment horizontal="center"/>
    </xf>
    <xf numFmtId="1" fontId="7" fillId="10" borderId="15" xfId="0" applyNumberFormat="1" applyFont="1" applyFill="1" applyBorder="1" applyAlignment="1">
      <alignment horizontal="center"/>
    </xf>
    <xf numFmtId="1" fontId="7" fillId="10" borderId="28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10" borderId="32" xfId="0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0" fontId="4" fillId="2" borderId="36" xfId="0" applyFont="1" applyFill="1" applyBorder="1" applyAlignment="1">
      <alignment horizontal="centerContinuous"/>
    </xf>
    <xf numFmtId="0" fontId="6" fillId="2" borderId="26" xfId="0" applyFont="1" applyFill="1" applyBorder="1" applyAlignment="1">
      <alignment horizontal="centerContinuous"/>
    </xf>
    <xf numFmtId="0" fontId="7" fillId="2" borderId="5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4" fillId="2" borderId="3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2" fontId="7" fillId="9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6" fillId="2" borderId="2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2" borderId="3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10" fillId="2" borderId="6" xfId="0" applyFont="1" applyFill="1" applyBorder="1" applyAlignment="1" applyProtection="1">
      <alignment/>
      <protection locked="0"/>
    </xf>
    <xf numFmtId="0" fontId="10" fillId="2" borderId="6" xfId="0" applyFont="1" applyFill="1" applyBorder="1" applyAlignment="1" applyProtection="1">
      <alignment horizontal="right"/>
      <protection locked="0"/>
    </xf>
    <xf numFmtId="0" fontId="4" fillId="2" borderId="7" xfId="0" applyFont="1" applyFill="1" applyBorder="1" applyAlignment="1">
      <alignment/>
    </xf>
    <xf numFmtId="0" fontId="23" fillId="2" borderId="5" xfId="0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1" fontId="7" fillId="2" borderId="30" xfId="0" applyNumberFormat="1" applyFont="1" applyFill="1" applyBorder="1" applyAlignment="1">
      <alignment horizontal="center"/>
    </xf>
    <xf numFmtId="2" fontId="4" fillId="2" borderId="30" xfId="0" applyNumberFormat="1" applyFont="1" applyFill="1" applyBorder="1" applyAlignment="1">
      <alignment horizontal="center"/>
    </xf>
    <xf numFmtId="0" fontId="4" fillId="9" borderId="23" xfId="0" applyFont="1" applyFill="1" applyBorder="1" applyAlignment="1">
      <alignment/>
    </xf>
    <xf numFmtId="0" fontId="4" fillId="9" borderId="21" xfId="0" applyFont="1" applyFill="1" applyBorder="1" applyAlignment="1">
      <alignment/>
    </xf>
    <xf numFmtId="0" fontId="4" fillId="9" borderId="22" xfId="0" applyFont="1" applyFill="1" applyBorder="1" applyAlignment="1">
      <alignment/>
    </xf>
    <xf numFmtId="0" fontId="7" fillId="9" borderId="16" xfId="0" applyFont="1" applyFill="1" applyBorder="1" applyAlignment="1">
      <alignment horizontal="right"/>
    </xf>
    <xf numFmtId="2" fontId="7" fillId="9" borderId="29" xfId="0" applyNumberFormat="1" applyFont="1" applyFill="1" applyBorder="1" applyAlignment="1">
      <alignment horizontal="left"/>
    </xf>
    <xf numFmtId="0" fontId="4" fillId="9" borderId="17" xfId="0" applyFont="1" applyFill="1" applyBorder="1" applyAlignment="1">
      <alignment horizontal="right"/>
    </xf>
    <xf numFmtId="0" fontId="4" fillId="9" borderId="15" xfId="0" applyFont="1" applyFill="1" applyBorder="1" applyAlignment="1">
      <alignment horizontal="right"/>
    </xf>
    <xf numFmtId="0" fontId="4" fillId="9" borderId="15" xfId="0" applyFont="1" applyFill="1" applyBorder="1" applyAlignment="1">
      <alignment/>
    </xf>
    <xf numFmtId="0" fontId="4" fillId="9" borderId="28" xfId="0" applyFont="1" applyFill="1" applyBorder="1" applyAlignment="1">
      <alignment/>
    </xf>
    <xf numFmtId="0" fontId="4" fillId="9" borderId="31" xfId="0" applyFont="1" applyFill="1" applyBorder="1" applyAlignment="1">
      <alignment/>
    </xf>
    <xf numFmtId="0" fontId="17" fillId="9" borderId="6" xfId="0" applyFont="1" applyFill="1" applyBorder="1" applyAlignment="1">
      <alignment horizontal="right"/>
    </xf>
    <xf numFmtId="0" fontId="4" fillId="9" borderId="32" xfId="0" applyFont="1" applyFill="1" applyBorder="1" applyAlignment="1">
      <alignment/>
    </xf>
    <xf numFmtId="0" fontId="4" fillId="2" borderId="16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8" fillId="7" borderId="16" xfId="0" applyFont="1" applyFill="1" applyBorder="1" applyAlignment="1">
      <alignment horizontal="centerContinuous"/>
    </xf>
    <xf numFmtId="0" fontId="8" fillId="7" borderId="0" xfId="0" applyFont="1" applyFill="1" applyBorder="1" applyAlignment="1">
      <alignment horizontal="centerContinuous"/>
    </xf>
    <xf numFmtId="0" fontId="8" fillId="7" borderId="17" xfId="0" applyFont="1" applyFill="1" applyBorder="1" applyAlignment="1">
      <alignment horizontal="centerContinuous"/>
    </xf>
    <xf numFmtId="0" fontId="8" fillId="7" borderId="15" xfId="0" applyFont="1" applyFill="1" applyBorder="1" applyAlignment="1">
      <alignment horizontal="centerContinuous"/>
    </xf>
    <xf numFmtId="0" fontId="7" fillId="11" borderId="16" xfId="0" applyFont="1" applyFill="1" applyBorder="1" applyAlignment="1">
      <alignment horizontal="centerContinuous"/>
    </xf>
    <xf numFmtId="0" fontId="7" fillId="11" borderId="0" xfId="0" applyFont="1" applyFill="1" applyBorder="1" applyAlignment="1">
      <alignment horizontal="centerContinuous"/>
    </xf>
    <xf numFmtId="0" fontId="8" fillId="11" borderId="16" xfId="0" applyFont="1" applyFill="1" applyBorder="1" applyAlignment="1">
      <alignment horizontal="centerContinuous"/>
    </xf>
    <xf numFmtId="0" fontId="8" fillId="11" borderId="0" xfId="0" applyFont="1" applyFill="1" applyBorder="1" applyAlignment="1">
      <alignment horizontal="centerContinuous"/>
    </xf>
    <xf numFmtId="0" fontId="4" fillId="11" borderId="23" xfId="0" applyFont="1" applyFill="1" applyBorder="1" applyAlignment="1">
      <alignment horizontal="left"/>
    </xf>
    <xf numFmtId="0" fontId="4" fillId="11" borderId="21" xfId="0" applyFont="1" applyFill="1" applyBorder="1" applyAlignment="1">
      <alignment horizontal="left"/>
    </xf>
    <xf numFmtId="0" fontId="4" fillId="11" borderId="17" xfId="0" applyFont="1" applyFill="1" applyBorder="1" applyAlignment="1">
      <alignment horizontal="left"/>
    </xf>
    <xf numFmtId="0" fontId="4" fillId="11" borderId="15" xfId="0" applyFont="1" applyFill="1" applyBorder="1" applyAlignment="1">
      <alignment horizontal="left"/>
    </xf>
    <xf numFmtId="0" fontId="8" fillId="3" borderId="6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9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8" fillId="3" borderId="0" xfId="0" applyFont="1" applyFill="1" applyBorder="1" applyAlignment="1" applyProtection="1">
      <alignment/>
      <protection locked="0"/>
    </xf>
    <xf numFmtId="0" fontId="8" fillId="3" borderId="29" xfId="0" applyFont="1" applyFill="1" applyBorder="1" applyAlignment="1" applyProtection="1">
      <alignment/>
      <protection locked="0"/>
    </xf>
    <xf numFmtId="0" fontId="8" fillId="3" borderId="32" xfId="0" applyFont="1" applyFill="1" applyBorder="1" applyAlignment="1" applyProtection="1">
      <alignment/>
      <protection locked="0"/>
    </xf>
    <xf numFmtId="0" fontId="8" fillId="3" borderId="15" xfId="0" applyFont="1" applyFill="1" applyBorder="1" applyAlignment="1" applyProtection="1">
      <alignment/>
      <protection locked="0"/>
    </xf>
    <xf numFmtId="0" fontId="8" fillId="3" borderId="28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29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Continuous"/>
    </xf>
    <xf numFmtId="0" fontId="5" fillId="2" borderId="34" xfId="0" applyFont="1" applyFill="1" applyBorder="1" applyAlignment="1">
      <alignment horizontal="centerContinuous"/>
    </xf>
    <xf numFmtId="0" fontId="4" fillId="2" borderId="34" xfId="0" applyFont="1" applyFill="1" applyBorder="1" applyAlignment="1">
      <alignment horizontal="centerContinuous"/>
    </xf>
    <xf numFmtId="0" fontId="4" fillId="2" borderId="34" xfId="0" applyFont="1" applyFill="1" applyBorder="1" applyAlignment="1">
      <alignment horizontal="centerContinuous"/>
    </xf>
    <xf numFmtId="0" fontId="4" fillId="2" borderId="35" xfId="0" applyFont="1" applyFill="1" applyBorder="1" applyAlignment="1">
      <alignment horizontal="centerContinuous"/>
    </xf>
    <xf numFmtId="0" fontId="6" fillId="2" borderId="33" xfId="0" applyFont="1" applyFill="1" applyBorder="1" applyAlignment="1">
      <alignment horizontal="centerContinuous"/>
    </xf>
    <xf numFmtId="0" fontId="6" fillId="2" borderId="34" xfId="0" applyFont="1" applyFill="1" applyBorder="1" applyAlignment="1">
      <alignment horizontal="centerContinuous"/>
    </xf>
    <xf numFmtId="1" fontId="4" fillId="2" borderId="0" xfId="0" applyNumberFormat="1" applyFont="1" applyFill="1" applyBorder="1" applyAlignment="1">
      <alignment/>
    </xf>
    <xf numFmtId="0" fontId="4" fillId="2" borderId="21" xfId="0" applyFont="1" applyFill="1" applyBorder="1" applyAlignment="1">
      <alignment/>
    </xf>
    <xf numFmtId="1" fontId="4" fillId="2" borderId="21" xfId="0" applyNumberFormat="1" applyFont="1" applyFill="1" applyBorder="1" applyAlignment="1">
      <alignment/>
    </xf>
    <xf numFmtId="1" fontId="4" fillId="2" borderId="22" xfId="0" applyNumberFormat="1" applyFont="1" applyFill="1" applyBorder="1" applyAlignment="1">
      <alignment/>
    </xf>
    <xf numFmtId="1" fontId="4" fillId="2" borderId="29" xfId="0" applyNumberFormat="1" applyFont="1" applyFill="1" applyBorder="1" applyAlignment="1">
      <alignment/>
    </xf>
    <xf numFmtId="0" fontId="4" fillId="2" borderId="15" xfId="0" applyFont="1" applyFill="1" applyBorder="1" applyAlignment="1">
      <alignment/>
    </xf>
    <xf numFmtId="1" fontId="4" fillId="2" borderId="15" xfId="0" applyNumberFormat="1" applyFont="1" applyFill="1" applyBorder="1" applyAlignment="1">
      <alignment/>
    </xf>
    <xf numFmtId="1" fontId="4" fillId="2" borderId="28" xfId="0" applyNumberFormat="1" applyFont="1" applyFill="1" applyBorder="1" applyAlignment="1">
      <alignment/>
    </xf>
    <xf numFmtId="0" fontId="4" fillId="2" borderId="32" xfId="0" applyFont="1" applyFill="1" applyBorder="1" applyAlignment="1">
      <alignment/>
    </xf>
    <xf numFmtId="1" fontId="4" fillId="2" borderId="31" xfId="0" applyNumberFormat="1" applyFont="1" applyFill="1" applyBorder="1" applyAlignment="1">
      <alignment/>
    </xf>
    <xf numFmtId="1" fontId="4" fillId="2" borderId="6" xfId="0" applyNumberFormat="1" applyFont="1" applyFill="1" applyBorder="1" applyAlignment="1">
      <alignment/>
    </xf>
    <xf numFmtId="1" fontId="4" fillId="2" borderId="32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2" fontId="4" fillId="2" borderId="29" xfId="0" applyNumberFormat="1" applyFont="1" applyFill="1" applyBorder="1" applyAlignment="1">
      <alignment/>
    </xf>
    <xf numFmtId="2" fontId="4" fillId="2" borderId="6" xfId="0" applyNumberFormat="1" applyFont="1" applyFill="1" applyBorder="1" applyAlignment="1">
      <alignment/>
    </xf>
    <xf numFmtId="176" fontId="4" fillId="2" borderId="0" xfId="0" applyNumberFormat="1" applyFont="1" applyFill="1" applyBorder="1" applyAlignment="1">
      <alignment/>
    </xf>
    <xf numFmtId="176" fontId="4" fillId="2" borderId="29" xfId="0" applyNumberFormat="1" applyFont="1" applyFill="1" applyBorder="1" applyAlignment="1">
      <alignment/>
    </xf>
    <xf numFmtId="176" fontId="4" fillId="2" borderId="15" xfId="0" applyNumberFormat="1" applyFont="1" applyFill="1" applyBorder="1" applyAlignment="1">
      <alignment/>
    </xf>
    <xf numFmtId="176" fontId="4" fillId="2" borderId="28" xfId="0" applyNumberFormat="1" applyFont="1" applyFill="1" applyBorder="1" applyAlignment="1">
      <alignment/>
    </xf>
    <xf numFmtId="176" fontId="4" fillId="2" borderId="6" xfId="0" applyNumberFormat="1" applyFont="1" applyFill="1" applyBorder="1" applyAlignment="1">
      <alignment/>
    </xf>
    <xf numFmtId="176" fontId="4" fillId="2" borderId="32" xfId="0" applyNumberFormat="1" applyFont="1" applyFill="1" applyBorder="1" applyAlignment="1">
      <alignment/>
    </xf>
    <xf numFmtId="0" fontId="6" fillId="2" borderId="37" xfId="0" applyFont="1" applyFill="1" applyBorder="1" applyAlignment="1">
      <alignment horizontal="centerContinuous"/>
    </xf>
    <xf numFmtId="0" fontId="6" fillId="2" borderId="36" xfId="0" applyFont="1" applyFill="1" applyBorder="1" applyAlignment="1">
      <alignment horizontal="centerContinuous"/>
    </xf>
    <xf numFmtId="0" fontId="4" fillId="2" borderId="36" xfId="0" applyFont="1" applyFill="1" applyBorder="1" applyAlignment="1">
      <alignment horizontal="centerContinuous"/>
    </xf>
    <xf numFmtId="0" fontId="4" fillId="2" borderId="38" xfId="0" applyFont="1" applyFill="1" applyBorder="1" applyAlignment="1">
      <alignment horizontal="centerContinuous"/>
    </xf>
    <xf numFmtId="0" fontId="6" fillId="2" borderId="17" xfId="0" applyFont="1" applyFill="1" applyBorder="1" applyAlignment="1">
      <alignment horizontal="centerContinuous"/>
    </xf>
    <xf numFmtId="0" fontId="6" fillId="2" borderId="15" xfId="0" applyFont="1" applyFill="1" applyBorder="1" applyAlignment="1">
      <alignment horizontal="centerContinuous"/>
    </xf>
    <xf numFmtId="0" fontId="4" fillId="2" borderId="15" xfId="0" applyFont="1" applyFill="1" applyBorder="1" applyAlignment="1">
      <alignment horizontal="centerContinuous"/>
    </xf>
    <xf numFmtId="0" fontId="4" fillId="2" borderId="15" xfId="0" applyFont="1" applyFill="1" applyBorder="1" applyAlignment="1">
      <alignment horizontal="centerContinuous"/>
    </xf>
    <xf numFmtId="0" fontId="4" fillId="2" borderId="28" xfId="0" applyFont="1" applyFill="1" applyBorder="1" applyAlignment="1">
      <alignment horizontal="centerContinuous"/>
    </xf>
    <xf numFmtId="0" fontId="9" fillId="7" borderId="16" xfId="0" applyFont="1" applyFill="1" applyBorder="1" applyAlignment="1">
      <alignment horizontal="centerContinuous"/>
    </xf>
    <xf numFmtId="0" fontId="9" fillId="7" borderId="29" xfId="0" applyFont="1" applyFill="1" applyBorder="1" applyAlignment="1">
      <alignment horizontal="centerContinuous"/>
    </xf>
    <xf numFmtId="0" fontId="6" fillId="2" borderId="36" xfId="0" applyFont="1" applyFill="1" applyBorder="1" applyAlignment="1">
      <alignment horizontal="left"/>
    </xf>
    <xf numFmtId="0" fontId="4" fillId="2" borderId="36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6" fillId="2" borderId="37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Continuous"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29" xfId="0" applyFont="1" applyBorder="1" applyAlignment="1">
      <alignment horizontal="centerContinuous"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4" fillId="0" borderId="17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25" fillId="0" borderId="37" xfId="0" applyFont="1" applyBorder="1" applyAlignment="1">
      <alignment horizontal="centerContinuous"/>
    </xf>
    <xf numFmtId="0" fontId="4" fillId="0" borderId="36" xfId="0" applyFont="1" applyBorder="1" applyAlignment="1">
      <alignment horizontal="centerContinuous"/>
    </xf>
    <xf numFmtId="0" fontId="4" fillId="0" borderId="36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26" xfId="0" applyFont="1" applyBorder="1" applyAlignment="1">
      <alignment/>
    </xf>
    <xf numFmtId="0" fontId="4" fillId="0" borderId="5" xfId="0" applyFont="1" applyBorder="1" applyAlignment="1" quotePrefix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0" xfId="0" applyFont="1" applyBorder="1" applyAlignment="1">
      <alignment/>
    </xf>
    <xf numFmtId="0" fontId="25" fillId="0" borderId="2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23" fillId="0" borderId="0" xfId="0" applyFont="1" applyBorder="1" applyAlignment="1">
      <alignment/>
    </xf>
    <xf numFmtId="1" fontId="4" fillId="0" borderId="6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23" fillId="0" borderId="15" xfId="0" applyFont="1" applyBorder="1" applyAlignment="1">
      <alignment/>
    </xf>
    <xf numFmtId="1" fontId="4" fillId="0" borderId="3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4" fillId="0" borderId="33" xfId="0" applyFont="1" applyBorder="1" applyAlignment="1">
      <alignment horizontal="centerContinuous"/>
    </xf>
    <xf numFmtId="0" fontId="4" fillId="0" borderId="34" xfId="0" applyFont="1" applyBorder="1" applyAlignment="1">
      <alignment horizontal="centerContinuous"/>
    </xf>
    <xf numFmtId="0" fontId="23" fillId="0" borderId="39" xfId="0" applyFont="1" applyBorder="1" applyAlignment="1">
      <alignment horizontal="right"/>
    </xf>
    <xf numFmtId="2" fontId="4" fillId="0" borderId="34" xfId="0" applyNumberFormat="1" applyFont="1" applyBorder="1" applyAlignment="1">
      <alignment horizontal="left"/>
    </xf>
    <xf numFmtId="2" fontId="4" fillId="0" borderId="35" xfId="0" applyNumberFormat="1" applyFont="1" applyBorder="1" applyAlignment="1">
      <alignment horizontal="left"/>
    </xf>
    <xf numFmtId="0" fontId="26" fillId="0" borderId="31" xfId="0" applyFont="1" applyBorder="1" applyAlignment="1">
      <alignment horizontal="right"/>
    </xf>
    <xf numFmtId="0" fontId="26" fillId="0" borderId="22" xfId="0" applyFont="1" applyBorder="1" applyAlignment="1">
      <alignment horizontal="left"/>
    </xf>
    <xf numFmtId="0" fontId="26" fillId="0" borderId="32" xfId="0" applyFont="1" applyBorder="1" applyAlignment="1">
      <alignment horizontal="right"/>
    </xf>
    <xf numFmtId="14" fontId="26" fillId="0" borderId="28" xfId="0" applyNumberFormat="1" applyFont="1" applyBorder="1" applyAlignment="1">
      <alignment horizontal="left"/>
    </xf>
    <xf numFmtId="0" fontId="2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</cellXfs>
  <cellStyles count="11">
    <cellStyle name="Normal" xfId="0"/>
    <cellStyle name="Datum" xfId="15"/>
    <cellStyle name="Comma" xfId="16"/>
    <cellStyle name="Fest" xfId="17"/>
    <cellStyle name="Gesamt" xfId="18"/>
    <cellStyle name="Komma0" xfId="19"/>
    <cellStyle name="Percent" xfId="20"/>
    <cellStyle name="Currency" xfId="21"/>
    <cellStyle name="Währung0" xfId="22"/>
    <cellStyle name="Zeile 1" xfId="23"/>
    <cellStyle name="Zeile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26</xdr:row>
      <xdr:rowOff>95250</xdr:rowOff>
    </xdr:from>
    <xdr:to>
      <xdr:col>3</xdr:col>
      <xdr:colOff>676275</xdr:colOff>
      <xdr:row>26</xdr:row>
      <xdr:rowOff>95250</xdr:rowOff>
    </xdr:to>
    <xdr:sp>
      <xdr:nvSpPr>
        <xdr:cNvPr id="1" name="Line 8"/>
        <xdr:cNvSpPr>
          <a:spLocks/>
        </xdr:cNvSpPr>
      </xdr:nvSpPr>
      <xdr:spPr>
        <a:xfrm>
          <a:off x="3543300" y="4714875"/>
          <a:ext cx="657225" cy="0"/>
        </a:xfrm>
        <a:prstGeom prst="line">
          <a:avLst/>
        </a:prstGeom>
        <a:solidFill>
          <a:srgbClr val="FFFFFF"/>
        </a:solidFill>
        <a:ln w="1" cmpd="sng">
          <a:solidFill>
            <a:srgbClr val="CC9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27</xdr:row>
      <xdr:rowOff>142875</xdr:rowOff>
    </xdr:from>
    <xdr:to>
      <xdr:col>3</xdr:col>
      <xdr:colOff>676275</xdr:colOff>
      <xdr:row>27</xdr:row>
      <xdr:rowOff>142875</xdr:rowOff>
    </xdr:to>
    <xdr:sp>
      <xdr:nvSpPr>
        <xdr:cNvPr id="2" name="Line 9"/>
        <xdr:cNvSpPr>
          <a:spLocks/>
        </xdr:cNvSpPr>
      </xdr:nvSpPr>
      <xdr:spPr>
        <a:xfrm>
          <a:off x="3552825" y="4924425"/>
          <a:ext cx="647700" cy="0"/>
        </a:xfrm>
        <a:prstGeom prst="line">
          <a:avLst/>
        </a:prstGeom>
        <a:solidFill>
          <a:srgbClr val="FFFFFF"/>
        </a:solidFill>
        <a:ln w="1" cmpd="sng">
          <a:solidFill>
            <a:srgbClr val="CC9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142875</xdr:rowOff>
    </xdr:from>
    <xdr:to>
      <xdr:col>3</xdr:col>
      <xdr:colOff>676275</xdr:colOff>
      <xdr:row>28</xdr:row>
      <xdr:rowOff>142875</xdr:rowOff>
    </xdr:to>
    <xdr:sp>
      <xdr:nvSpPr>
        <xdr:cNvPr id="3" name="Line 14"/>
        <xdr:cNvSpPr>
          <a:spLocks/>
        </xdr:cNvSpPr>
      </xdr:nvSpPr>
      <xdr:spPr>
        <a:xfrm>
          <a:off x="3552825" y="5172075"/>
          <a:ext cx="647700" cy="0"/>
        </a:xfrm>
        <a:prstGeom prst="line">
          <a:avLst/>
        </a:prstGeom>
        <a:solidFill>
          <a:srgbClr val="FFFFFF"/>
        </a:solidFill>
        <a:ln w="1" cmpd="sng">
          <a:solidFill>
            <a:srgbClr val="CC9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29</xdr:row>
      <xdr:rowOff>142875</xdr:rowOff>
    </xdr:from>
    <xdr:to>
      <xdr:col>3</xdr:col>
      <xdr:colOff>676275</xdr:colOff>
      <xdr:row>29</xdr:row>
      <xdr:rowOff>142875</xdr:rowOff>
    </xdr:to>
    <xdr:sp>
      <xdr:nvSpPr>
        <xdr:cNvPr id="4" name="Line 15"/>
        <xdr:cNvSpPr>
          <a:spLocks/>
        </xdr:cNvSpPr>
      </xdr:nvSpPr>
      <xdr:spPr>
        <a:xfrm>
          <a:off x="3552825" y="5419725"/>
          <a:ext cx="647700" cy="0"/>
        </a:xfrm>
        <a:prstGeom prst="line">
          <a:avLst/>
        </a:prstGeom>
        <a:solidFill>
          <a:srgbClr val="FFFFFF"/>
        </a:solidFill>
        <a:ln w="1" cmpd="sng">
          <a:solidFill>
            <a:srgbClr val="CC9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30</xdr:row>
      <xdr:rowOff>142875</xdr:rowOff>
    </xdr:from>
    <xdr:to>
      <xdr:col>3</xdr:col>
      <xdr:colOff>676275</xdr:colOff>
      <xdr:row>30</xdr:row>
      <xdr:rowOff>142875</xdr:rowOff>
    </xdr:to>
    <xdr:sp>
      <xdr:nvSpPr>
        <xdr:cNvPr id="5" name="Line 16"/>
        <xdr:cNvSpPr>
          <a:spLocks/>
        </xdr:cNvSpPr>
      </xdr:nvSpPr>
      <xdr:spPr>
        <a:xfrm>
          <a:off x="3552825" y="5667375"/>
          <a:ext cx="647700" cy="0"/>
        </a:xfrm>
        <a:prstGeom prst="line">
          <a:avLst/>
        </a:prstGeom>
        <a:solidFill>
          <a:srgbClr val="FFFFFF"/>
        </a:solidFill>
        <a:ln w="1" cmpd="sng">
          <a:solidFill>
            <a:srgbClr val="CC9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31</xdr:row>
      <xdr:rowOff>142875</xdr:rowOff>
    </xdr:from>
    <xdr:to>
      <xdr:col>3</xdr:col>
      <xdr:colOff>676275</xdr:colOff>
      <xdr:row>31</xdr:row>
      <xdr:rowOff>142875</xdr:rowOff>
    </xdr:to>
    <xdr:sp>
      <xdr:nvSpPr>
        <xdr:cNvPr id="6" name="Line 17"/>
        <xdr:cNvSpPr>
          <a:spLocks/>
        </xdr:cNvSpPr>
      </xdr:nvSpPr>
      <xdr:spPr>
        <a:xfrm>
          <a:off x="3552825" y="5915025"/>
          <a:ext cx="647700" cy="0"/>
        </a:xfrm>
        <a:prstGeom prst="line">
          <a:avLst/>
        </a:prstGeom>
        <a:solidFill>
          <a:srgbClr val="FFFFFF"/>
        </a:solidFill>
        <a:ln w="1" cmpd="sng">
          <a:solidFill>
            <a:srgbClr val="CC9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27</xdr:row>
      <xdr:rowOff>142875</xdr:rowOff>
    </xdr:from>
    <xdr:to>
      <xdr:col>5</xdr:col>
      <xdr:colOff>676275</xdr:colOff>
      <xdr:row>27</xdr:row>
      <xdr:rowOff>142875</xdr:rowOff>
    </xdr:to>
    <xdr:sp>
      <xdr:nvSpPr>
        <xdr:cNvPr id="7" name="Line 18"/>
        <xdr:cNvSpPr>
          <a:spLocks/>
        </xdr:cNvSpPr>
      </xdr:nvSpPr>
      <xdr:spPr>
        <a:xfrm>
          <a:off x="4981575" y="4924425"/>
          <a:ext cx="647700" cy="0"/>
        </a:xfrm>
        <a:prstGeom prst="line">
          <a:avLst/>
        </a:prstGeom>
        <a:solidFill>
          <a:srgbClr val="FFFFFF"/>
        </a:solidFill>
        <a:ln w="1" cmpd="sng">
          <a:solidFill>
            <a:srgbClr val="CC9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28</xdr:row>
      <xdr:rowOff>142875</xdr:rowOff>
    </xdr:from>
    <xdr:to>
      <xdr:col>5</xdr:col>
      <xdr:colOff>676275</xdr:colOff>
      <xdr:row>28</xdr:row>
      <xdr:rowOff>142875</xdr:rowOff>
    </xdr:to>
    <xdr:sp>
      <xdr:nvSpPr>
        <xdr:cNvPr id="8" name="Line 19"/>
        <xdr:cNvSpPr>
          <a:spLocks/>
        </xdr:cNvSpPr>
      </xdr:nvSpPr>
      <xdr:spPr>
        <a:xfrm>
          <a:off x="4981575" y="5172075"/>
          <a:ext cx="647700" cy="0"/>
        </a:xfrm>
        <a:prstGeom prst="line">
          <a:avLst/>
        </a:prstGeom>
        <a:solidFill>
          <a:srgbClr val="FFFFFF"/>
        </a:solidFill>
        <a:ln w="1" cmpd="sng">
          <a:solidFill>
            <a:srgbClr val="CC9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142875</xdr:rowOff>
    </xdr:from>
    <xdr:to>
      <xdr:col>5</xdr:col>
      <xdr:colOff>676275</xdr:colOff>
      <xdr:row>29</xdr:row>
      <xdr:rowOff>142875</xdr:rowOff>
    </xdr:to>
    <xdr:sp>
      <xdr:nvSpPr>
        <xdr:cNvPr id="9" name="Line 20"/>
        <xdr:cNvSpPr>
          <a:spLocks/>
        </xdr:cNvSpPr>
      </xdr:nvSpPr>
      <xdr:spPr>
        <a:xfrm>
          <a:off x="4981575" y="5419725"/>
          <a:ext cx="647700" cy="0"/>
        </a:xfrm>
        <a:prstGeom prst="line">
          <a:avLst/>
        </a:prstGeom>
        <a:solidFill>
          <a:srgbClr val="FFFFFF"/>
        </a:solidFill>
        <a:ln w="1" cmpd="sng">
          <a:solidFill>
            <a:srgbClr val="CC9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30</xdr:row>
      <xdr:rowOff>142875</xdr:rowOff>
    </xdr:from>
    <xdr:to>
      <xdr:col>5</xdr:col>
      <xdr:colOff>676275</xdr:colOff>
      <xdr:row>30</xdr:row>
      <xdr:rowOff>142875</xdr:rowOff>
    </xdr:to>
    <xdr:sp>
      <xdr:nvSpPr>
        <xdr:cNvPr id="10" name="Line 21"/>
        <xdr:cNvSpPr>
          <a:spLocks/>
        </xdr:cNvSpPr>
      </xdr:nvSpPr>
      <xdr:spPr>
        <a:xfrm>
          <a:off x="4981575" y="5667375"/>
          <a:ext cx="647700" cy="0"/>
        </a:xfrm>
        <a:prstGeom prst="line">
          <a:avLst/>
        </a:prstGeom>
        <a:solidFill>
          <a:srgbClr val="FFFFFF"/>
        </a:solidFill>
        <a:ln w="1" cmpd="sng">
          <a:solidFill>
            <a:srgbClr val="CC9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31</xdr:row>
      <xdr:rowOff>142875</xdr:rowOff>
    </xdr:from>
    <xdr:to>
      <xdr:col>5</xdr:col>
      <xdr:colOff>676275</xdr:colOff>
      <xdr:row>31</xdr:row>
      <xdr:rowOff>142875</xdr:rowOff>
    </xdr:to>
    <xdr:sp>
      <xdr:nvSpPr>
        <xdr:cNvPr id="11" name="Line 22"/>
        <xdr:cNvSpPr>
          <a:spLocks/>
        </xdr:cNvSpPr>
      </xdr:nvSpPr>
      <xdr:spPr>
        <a:xfrm>
          <a:off x="4981575" y="5915025"/>
          <a:ext cx="647700" cy="0"/>
        </a:xfrm>
        <a:prstGeom prst="line">
          <a:avLst/>
        </a:prstGeom>
        <a:solidFill>
          <a:srgbClr val="FFFFFF"/>
        </a:solidFill>
        <a:ln w="1" cmpd="sng">
          <a:solidFill>
            <a:srgbClr val="CC9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26</xdr:row>
      <xdr:rowOff>104775</xdr:rowOff>
    </xdr:from>
    <xdr:to>
      <xdr:col>5</xdr:col>
      <xdr:colOff>676275</xdr:colOff>
      <xdr:row>26</xdr:row>
      <xdr:rowOff>104775</xdr:rowOff>
    </xdr:to>
    <xdr:sp>
      <xdr:nvSpPr>
        <xdr:cNvPr id="12" name="Line 23"/>
        <xdr:cNvSpPr>
          <a:spLocks/>
        </xdr:cNvSpPr>
      </xdr:nvSpPr>
      <xdr:spPr>
        <a:xfrm>
          <a:off x="4981575" y="4724400"/>
          <a:ext cx="647700" cy="0"/>
        </a:xfrm>
        <a:prstGeom prst="line">
          <a:avLst/>
        </a:prstGeom>
        <a:solidFill>
          <a:srgbClr val="FFFFFF"/>
        </a:solidFill>
        <a:ln w="1" cmpd="sng">
          <a:solidFill>
            <a:srgbClr val="CC9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39</xdr:row>
      <xdr:rowOff>142875</xdr:rowOff>
    </xdr:from>
    <xdr:to>
      <xdr:col>3</xdr:col>
      <xdr:colOff>676275</xdr:colOff>
      <xdr:row>39</xdr:row>
      <xdr:rowOff>142875</xdr:rowOff>
    </xdr:to>
    <xdr:sp>
      <xdr:nvSpPr>
        <xdr:cNvPr id="13" name="Line 24"/>
        <xdr:cNvSpPr>
          <a:spLocks/>
        </xdr:cNvSpPr>
      </xdr:nvSpPr>
      <xdr:spPr>
        <a:xfrm>
          <a:off x="3552825" y="7524750"/>
          <a:ext cx="647700" cy="0"/>
        </a:xfrm>
        <a:prstGeom prst="line">
          <a:avLst/>
        </a:prstGeom>
        <a:solidFill>
          <a:srgbClr val="FFFFFF"/>
        </a:solidFill>
        <a:ln w="1" cmpd="sng">
          <a:solidFill>
            <a:srgbClr val="CC9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41</xdr:row>
      <xdr:rowOff>133350</xdr:rowOff>
    </xdr:from>
    <xdr:to>
      <xdr:col>3</xdr:col>
      <xdr:colOff>676275</xdr:colOff>
      <xdr:row>41</xdr:row>
      <xdr:rowOff>133350</xdr:rowOff>
    </xdr:to>
    <xdr:sp>
      <xdr:nvSpPr>
        <xdr:cNvPr id="14" name="Line 25"/>
        <xdr:cNvSpPr>
          <a:spLocks/>
        </xdr:cNvSpPr>
      </xdr:nvSpPr>
      <xdr:spPr>
        <a:xfrm>
          <a:off x="3552825" y="7924800"/>
          <a:ext cx="647700" cy="0"/>
        </a:xfrm>
        <a:prstGeom prst="line">
          <a:avLst/>
        </a:prstGeom>
        <a:solidFill>
          <a:srgbClr val="FFFFFF"/>
        </a:solidFill>
        <a:ln w="1" cmpd="sng">
          <a:solidFill>
            <a:srgbClr val="CC9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44</xdr:row>
      <xdr:rowOff>142875</xdr:rowOff>
    </xdr:from>
    <xdr:to>
      <xdr:col>3</xdr:col>
      <xdr:colOff>676275</xdr:colOff>
      <xdr:row>44</xdr:row>
      <xdr:rowOff>142875</xdr:rowOff>
    </xdr:to>
    <xdr:sp>
      <xdr:nvSpPr>
        <xdr:cNvPr id="15" name="Line 26"/>
        <xdr:cNvSpPr>
          <a:spLocks/>
        </xdr:cNvSpPr>
      </xdr:nvSpPr>
      <xdr:spPr>
        <a:xfrm>
          <a:off x="3552825" y="8591550"/>
          <a:ext cx="647700" cy="0"/>
        </a:xfrm>
        <a:prstGeom prst="line">
          <a:avLst/>
        </a:prstGeom>
        <a:solidFill>
          <a:srgbClr val="FFFFFF"/>
        </a:solidFill>
        <a:ln w="1" cmpd="sng">
          <a:solidFill>
            <a:srgbClr val="CC9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45</xdr:row>
      <xdr:rowOff>133350</xdr:rowOff>
    </xdr:from>
    <xdr:to>
      <xdr:col>3</xdr:col>
      <xdr:colOff>676275</xdr:colOff>
      <xdr:row>45</xdr:row>
      <xdr:rowOff>133350</xdr:rowOff>
    </xdr:to>
    <xdr:sp>
      <xdr:nvSpPr>
        <xdr:cNvPr id="16" name="Line 27"/>
        <xdr:cNvSpPr>
          <a:spLocks/>
        </xdr:cNvSpPr>
      </xdr:nvSpPr>
      <xdr:spPr>
        <a:xfrm>
          <a:off x="3552825" y="8791575"/>
          <a:ext cx="647700" cy="0"/>
        </a:xfrm>
        <a:prstGeom prst="line">
          <a:avLst/>
        </a:prstGeom>
        <a:solidFill>
          <a:srgbClr val="FFFFFF"/>
        </a:solidFill>
        <a:ln w="1" cmpd="sng">
          <a:solidFill>
            <a:srgbClr val="CC9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39</xdr:row>
      <xdr:rowOff>142875</xdr:rowOff>
    </xdr:from>
    <xdr:to>
      <xdr:col>5</xdr:col>
      <xdr:colOff>676275</xdr:colOff>
      <xdr:row>39</xdr:row>
      <xdr:rowOff>142875</xdr:rowOff>
    </xdr:to>
    <xdr:sp>
      <xdr:nvSpPr>
        <xdr:cNvPr id="17" name="Line 28"/>
        <xdr:cNvSpPr>
          <a:spLocks/>
        </xdr:cNvSpPr>
      </xdr:nvSpPr>
      <xdr:spPr>
        <a:xfrm>
          <a:off x="4981575" y="7524750"/>
          <a:ext cx="647700" cy="0"/>
        </a:xfrm>
        <a:prstGeom prst="line">
          <a:avLst/>
        </a:prstGeom>
        <a:solidFill>
          <a:srgbClr val="FFFFFF"/>
        </a:solidFill>
        <a:ln w="1" cmpd="sng">
          <a:solidFill>
            <a:srgbClr val="CC9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41</xdr:row>
      <xdr:rowOff>133350</xdr:rowOff>
    </xdr:from>
    <xdr:to>
      <xdr:col>5</xdr:col>
      <xdr:colOff>676275</xdr:colOff>
      <xdr:row>41</xdr:row>
      <xdr:rowOff>133350</xdr:rowOff>
    </xdr:to>
    <xdr:sp>
      <xdr:nvSpPr>
        <xdr:cNvPr id="18" name="Line 29"/>
        <xdr:cNvSpPr>
          <a:spLocks/>
        </xdr:cNvSpPr>
      </xdr:nvSpPr>
      <xdr:spPr>
        <a:xfrm>
          <a:off x="4981575" y="7924800"/>
          <a:ext cx="647700" cy="0"/>
        </a:xfrm>
        <a:prstGeom prst="line">
          <a:avLst/>
        </a:prstGeom>
        <a:solidFill>
          <a:srgbClr val="FFFFFF"/>
        </a:solidFill>
        <a:ln w="1" cmpd="sng">
          <a:solidFill>
            <a:srgbClr val="CC9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44</xdr:row>
      <xdr:rowOff>142875</xdr:rowOff>
    </xdr:from>
    <xdr:to>
      <xdr:col>5</xdr:col>
      <xdr:colOff>676275</xdr:colOff>
      <xdr:row>44</xdr:row>
      <xdr:rowOff>142875</xdr:rowOff>
    </xdr:to>
    <xdr:sp>
      <xdr:nvSpPr>
        <xdr:cNvPr id="19" name="Line 30"/>
        <xdr:cNvSpPr>
          <a:spLocks/>
        </xdr:cNvSpPr>
      </xdr:nvSpPr>
      <xdr:spPr>
        <a:xfrm>
          <a:off x="4981575" y="8591550"/>
          <a:ext cx="647700" cy="0"/>
        </a:xfrm>
        <a:prstGeom prst="line">
          <a:avLst/>
        </a:prstGeom>
        <a:solidFill>
          <a:srgbClr val="FFFFFF"/>
        </a:solidFill>
        <a:ln w="1" cmpd="sng">
          <a:solidFill>
            <a:srgbClr val="CC9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45</xdr:row>
      <xdr:rowOff>133350</xdr:rowOff>
    </xdr:from>
    <xdr:to>
      <xdr:col>5</xdr:col>
      <xdr:colOff>676275</xdr:colOff>
      <xdr:row>45</xdr:row>
      <xdr:rowOff>133350</xdr:rowOff>
    </xdr:to>
    <xdr:sp>
      <xdr:nvSpPr>
        <xdr:cNvPr id="20" name="Line 31"/>
        <xdr:cNvSpPr>
          <a:spLocks/>
        </xdr:cNvSpPr>
      </xdr:nvSpPr>
      <xdr:spPr>
        <a:xfrm>
          <a:off x="4981575" y="8791575"/>
          <a:ext cx="647700" cy="0"/>
        </a:xfrm>
        <a:prstGeom prst="line">
          <a:avLst/>
        </a:prstGeom>
        <a:solidFill>
          <a:srgbClr val="FFFFFF"/>
        </a:solidFill>
        <a:ln w="1" cmpd="sng">
          <a:solidFill>
            <a:srgbClr val="CC9C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47625</xdr:rowOff>
    </xdr:from>
    <xdr:to>
      <xdr:col>5</xdr:col>
      <xdr:colOff>552450</xdr:colOff>
      <xdr:row>22</xdr:row>
      <xdr:rowOff>57150</xdr:rowOff>
    </xdr:to>
    <xdr:grpSp>
      <xdr:nvGrpSpPr>
        <xdr:cNvPr id="1" name="Group 12"/>
        <xdr:cNvGrpSpPr>
          <a:grpSpLocks/>
        </xdr:cNvGrpSpPr>
      </xdr:nvGrpSpPr>
      <xdr:grpSpPr>
        <a:xfrm>
          <a:off x="200025" y="209550"/>
          <a:ext cx="4162425" cy="3409950"/>
          <a:chOff x="-2950" y="-976"/>
          <a:chExt cx="21850" cy="179"/>
        </a:xfrm>
        <a:solidFill>
          <a:srgbClr val="FFFFFF"/>
        </a:solidFill>
      </xdr:grpSpPr>
      <xdr:sp>
        <xdr:nvSpPr>
          <xdr:cNvPr id="2" name="Text 1"/>
          <xdr:cNvSpPr txBox="1">
            <a:spLocks noChangeArrowheads="1"/>
          </xdr:cNvSpPr>
        </xdr:nvSpPr>
        <xdr:spPr>
          <a:xfrm>
            <a:off x="9597" y="-913"/>
            <a:ext cx="49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7"/>
          <xdr:cNvSpPr>
            <a:spLocks/>
          </xdr:cNvSpPr>
        </xdr:nvSpPr>
        <xdr:spPr>
          <a:xfrm>
            <a:off x="-2950" y="-976"/>
            <a:ext cx="21850" cy="179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Bild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1098" y="-959"/>
            <a:ext cx="17748" cy="10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</xdr:pic>
      <xdr:grpSp>
        <xdr:nvGrpSpPr>
          <xdr:cNvPr id="5" name="Group 11"/>
          <xdr:cNvGrpSpPr>
            <a:grpSpLocks/>
          </xdr:cNvGrpSpPr>
        </xdr:nvGrpSpPr>
        <xdr:grpSpPr>
          <a:xfrm>
            <a:off x="1901" y="-850"/>
            <a:ext cx="12149" cy="47"/>
            <a:chOff x="0" y="0"/>
            <a:chExt cx="20000" cy="20000"/>
          </a:xfrm>
          <a:solidFill>
            <a:srgbClr val="FFFFFF"/>
          </a:solidFill>
        </xdr:grpSpPr>
        <xdr:sp>
          <xdr:nvSpPr>
            <xdr:cNvPr id="6" name="Text 8"/>
            <xdr:cNvSpPr txBox="1">
              <a:spLocks noChangeArrowheads="1"/>
            </xdr:cNvSpPr>
          </xdr:nvSpPr>
          <xdr:spPr>
            <a:xfrm>
              <a:off x="0" y="0"/>
              <a:ext cx="20000" cy="20000"/>
            </a:xfrm>
            <a:prstGeom prst="rect">
              <a:avLst/>
            </a:prstGeom>
            <a:solidFill>
              <a:srgbClr val="FFFF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Die Beanspruchung des Querschnitts erfolgt auf
</a:t>
              </a: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Biegung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        M' =F*l</a:t>
              </a:r>
              <a:r>
                <a:rPr lang="en-US" cap="none" sz="1200" b="0" i="0" u="none" baseline="-25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x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Torsion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          T' =T    
(Abscheren Fq=F)</a:t>
              </a:r>
            </a:p>
          </xdr:txBody>
        </xdr:sp>
        <xdr:sp>
          <xdr:nvSpPr>
            <xdr:cNvPr id="7" name="Line 9"/>
            <xdr:cNvSpPr>
              <a:spLocks/>
            </xdr:cNvSpPr>
          </xdr:nvSpPr>
          <xdr:spPr>
            <a:xfrm>
              <a:off x="9385" y="10640"/>
              <a:ext cx="2055" cy="0"/>
            </a:xfrm>
            <a:prstGeom prst="line">
              <a:avLst/>
            </a:prstGeom>
            <a:solidFill>
              <a:srgbClr val="FFFFFF"/>
            </a:solidFill>
            <a:ln w="1" cmpd="sng">
              <a:solidFill>
                <a:srgbClr val="FF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0"/>
            <xdr:cNvSpPr>
              <a:spLocks/>
            </xdr:cNvSpPr>
          </xdr:nvSpPr>
          <xdr:spPr>
            <a:xfrm>
              <a:off x="9385" y="14470"/>
              <a:ext cx="2055" cy="0"/>
            </a:xfrm>
            <a:prstGeom prst="line">
              <a:avLst/>
            </a:prstGeom>
            <a:solidFill>
              <a:srgbClr val="FFFFFF"/>
            </a:solidFill>
            <a:ln w="1" cmpd="sng">
              <a:solidFill>
                <a:srgbClr val="FF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3</xdr:row>
      <xdr:rowOff>9525</xdr:rowOff>
    </xdr:from>
    <xdr:to>
      <xdr:col>5</xdr:col>
      <xdr:colOff>19050</xdr:colOff>
      <xdr:row>17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95300"/>
          <a:ext cx="26384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161925</xdr:colOff>
      <xdr:row>2</xdr:row>
      <xdr:rowOff>76200</xdr:rowOff>
    </xdr:from>
    <xdr:to>
      <xdr:col>8</xdr:col>
      <xdr:colOff>352425</xdr:colOff>
      <xdr:row>18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400425" y="400050"/>
          <a:ext cx="2133600" cy="2514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Achsen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umlaufende Achsen werden wechselnd [III], feststehende Achsen dagegen werden schwellend [II] auf Biegung beansprucht.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Wellen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Wellen werden meistens schwellend [II] auf Verdrehen und wechselnd auf Biegung beansprucht.
Eine wechselnde Verdrehbeanspruchung bei gleichzeitiger wechselnder Biegebeanspruchung ist die Ausnahme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6</xdr:col>
      <xdr:colOff>219075</xdr:colOff>
      <xdr:row>11</xdr:row>
      <xdr:rowOff>123825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23850"/>
          <a:ext cx="3267075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76200</xdr:colOff>
      <xdr:row>12</xdr:row>
      <xdr:rowOff>76200</xdr:rowOff>
    </xdr:from>
    <xdr:to>
      <xdr:col>6</xdr:col>
      <xdr:colOff>142875</xdr:colOff>
      <xdr:row>19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76275" y="2019300"/>
          <a:ext cx="3114675" cy="10572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Querschnittsformen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Für die Eingabe ist die entsprechende Zeilennummer 1...4 zu wählen.
Ist die für die Berechnung vorliegende Querschnittsform nicht aufgeführt, ist sie einer der angegebenen Formen zuzuordnen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showGridLines="0" tabSelected="1" workbookViewId="0" topLeftCell="A1">
      <selection activeCell="D18" sqref="D18"/>
    </sheetView>
  </sheetViews>
  <sheetFormatPr defaultColWidth="11.421875" defaultRowHeight="12.75"/>
  <cols>
    <col min="1" max="1" width="11.140625" style="0" customWidth="1"/>
    <col min="2" max="2" width="35.140625" style="0" customWidth="1"/>
    <col min="3" max="3" width="6.57421875" style="0" customWidth="1"/>
    <col min="4" max="6" width="10.7109375" style="0" customWidth="1"/>
    <col min="7" max="7" width="12.28125" style="0" customWidth="1"/>
    <col min="8" max="8" width="9.7109375" style="0" customWidth="1"/>
    <col min="9" max="9" width="38.8515625" style="0" customWidth="1"/>
    <col min="10" max="10" width="10.28125" style="0" customWidth="1"/>
    <col min="11" max="11" width="10.00390625" style="0" customWidth="1"/>
    <col min="12" max="12" width="10.28125" style="0" customWidth="1"/>
    <col min="13" max="13" width="10.00390625" style="0" customWidth="1"/>
    <col min="14" max="14" width="1.7109375" style="0" customWidth="1"/>
    <col min="15" max="15" width="8.7109375" style="0" customWidth="1"/>
    <col min="16" max="16" width="1.7109375" style="0" customWidth="1"/>
    <col min="17" max="17" width="8.7109375" style="0" customWidth="1"/>
    <col min="18" max="18" width="1.7109375" style="0" customWidth="1"/>
    <col min="19" max="19" width="10.7109375" style="0" customWidth="1"/>
    <col min="20" max="20" width="1.7109375" style="0" customWidth="1"/>
    <col min="21" max="16384" width="10.28125" style="0" customWidth="1"/>
  </cols>
  <sheetData>
    <row r="1" spans="1:8" ht="13.5" thickBot="1">
      <c r="A1" s="7"/>
      <c r="B1" s="7"/>
      <c r="C1" s="7"/>
      <c r="D1" s="7"/>
      <c r="E1" s="7"/>
      <c r="F1" s="7"/>
      <c r="G1" s="7"/>
      <c r="H1" s="7"/>
    </row>
    <row r="2" spans="1:8" ht="12.75">
      <c r="A2" s="7"/>
      <c r="B2" s="60" t="s">
        <v>0</v>
      </c>
      <c r="C2" s="110"/>
      <c r="D2" s="123" t="s">
        <v>205</v>
      </c>
      <c r="E2" s="61"/>
      <c r="F2" s="126" t="s">
        <v>1</v>
      </c>
      <c r="G2" s="64" t="s">
        <v>2</v>
      </c>
      <c r="H2" s="7"/>
    </row>
    <row r="3" spans="1:8" ht="13.5" thickBot="1">
      <c r="A3" s="7"/>
      <c r="B3" s="62" t="s">
        <v>3</v>
      </c>
      <c r="C3" s="111"/>
      <c r="D3" s="124" t="s">
        <v>206</v>
      </c>
      <c r="E3" s="63"/>
      <c r="F3" s="127" t="s">
        <v>4</v>
      </c>
      <c r="G3" s="65">
        <f ca="1">TODAY()</f>
        <v>37217</v>
      </c>
      <c r="H3" s="7"/>
    </row>
    <row r="4" spans="1:8" ht="13.5" thickBot="1">
      <c r="A4" s="7"/>
      <c r="B4" s="45"/>
      <c r="C4" s="45"/>
      <c r="D4" s="45"/>
      <c r="E4" s="45"/>
      <c r="F4" s="45"/>
      <c r="G4" s="45"/>
      <c r="H4" s="7"/>
    </row>
    <row r="5" spans="1:8" ht="12.75">
      <c r="A5" s="7"/>
      <c r="B5" s="196"/>
      <c r="C5" s="197"/>
      <c r="D5" s="125" t="s">
        <v>5</v>
      </c>
      <c r="E5" s="78"/>
      <c r="F5" s="78"/>
      <c r="G5" s="79"/>
      <c r="H5" s="7"/>
    </row>
    <row r="6" spans="1:8" ht="12.75">
      <c r="A6" s="7"/>
      <c r="B6" s="192" t="s">
        <v>6</v>
      </c>
      <c r="C6" s="193"/>
      <c r="D6" s="200"/>
      <c r="E6" s="201"/>
      <c r="F6" s="201"/>
      <c r="G6" s="202"/>
      <c r="H6" s="7"/>
    </row>
    <row r="7" spans="1:8" ht="12.75">
      <c r="A7" s="7"/>
      <c r="B7" s="194" t="s">
        <v>7</v>
      </c>
      <c r="C7" s="195"/>
      <c r="D7" s="200"/>
      <c r="E7" s="201"/>
      <c r="F7" s="201"/>
      <c r="G7" s="202"/>
      <c r="H7" s="7"/>
    </row>
    <row r="8" spans="1:8" ht="13.5" thickBot="1">
      <c r="A8" s="7"/>
      <c r="B8" s="198"/>
      <c r="C8" s="199"/>
      <c r="D8" s="203"/>
      <c r="E8" s="204"/>
      <c r="F8" s="204"/>
      <c r="G8" s="205"/>
      <c r="H8" s="7"/>
    </row>
    <row r="9" spans="1:8" ht="12.75">
      <c r="A9" s="7"/>
      <c r="B9" s="188" t="s">
        <v>8</v>
      </c>
      <c r="C9" s="189"/>
      <c r="D9" s="200"/>
      <c r="E9" s="206"/>
      <c r="F9" s="206"/>
      <c r="G9" s="207"/>
      <c r="H9" s="7"/>
    </row>
    <row r="10" spans="1:8" ht="12.75">
      <c r="A10" s="7"/>
      <c r="B10" s="257" t="s">
        <v>9</v>
      </c>
      <c r="C10" s="189"/>
      <c r="D10" s="200"/>
      <c r="E10" s="206"/>
      <c r="F10" s="206"/>
      <c r="G10" s="207"/>
      <c r="H10" s="7"/>
    </row>
    <row r="11" spans="1:8" ht="13.5" thickBot="1">
      <c r="A11" s="7"/>
      <c r="B11" s="190" t="s">
        <v>10</v>
      </c>
      <c r="C11" s="191"/>
      <c r="D11" s="208"/>
      <c r="E11" s="209"/>
      <c r="F11" s="209"/>
      <c r="G11" s="210"/>
      <c r="H11" s="7"/>
    </row>
    <row r="12" spans="1:8" ht="13.5" thickBot="1">
      <c r="A12" s="7"/>
      <c r="B12" s="6"/>
      <c r="C12" s="6"/>
      <c r="D12" s="6"/>
      <c r="E12" s="6"/>
      <c r="F12" s="6"/>
      <c r="G12" s="6"/>
      <c r="H12" s="7"/>
    </row>
    <row r="13" spans="1:8" ht="12.75">
      <c r="A13" s="7"/>
      <c r="B13" s="80" t="s">
        <v>7</v>
      </c>
      <c r="C13" s="116"/>
      <c r="D13" s="98" t="s">
        <v>11</v>
      </c>
      <c r="E13" s="82"/>
      <c r="F13" s="81" t="s">
        <v>11</v>
      </c>
      <c r="G13" s="82"/>
      <c r="H13" s="7"/>
    </row>
    <row r="14" spans="1:8" ht="15.75">
      <c r="A14" s="7"/>
      <c r="B14" s="251" t="s">
        <v>12</v>
      </c>
      <c r="C14" s="252"/>
      <c r="D14" s="99" t="s">
        <v>13</v>
      </c>
      <c r="E14" s="84"/>
      <c r="F14" s="83" t="s">
        <v>14</v>
      </c>
      <c r="G14" s="84"/>
      <c r="H14" s="7"/>
    </row>
    <row r="15" spans="1:8" ht="13.5" thickBot="1">
      <c r="A15" s="7"/>
      <c r="B15" s="85"/>
      <c r="C15" s="87"/>
      <c r="D15" s="100"/>
      <c r="E15" s="101"/>
      <c r="F15" s="86"/>
      <c r="G15" s="87"/>
      <c r="H15" s="7"/>
    </row>
    <row r="16" spans="1:8" ht="16.5" customHeight="1" thickBot="1">
      <c r="A16" s="7"/>
      <c r="B16" s="102" t="s">
        <v>15</v>
      </c>
      <c r="C16" s="112"/>
      <c r="D16" s="103"/>
      <c r="E16" s="103"/>
      <c r="F16" s="103"/>
      <c r="G16" s="104"/>
      <c r="H16" s="7"/>
    </row>
    <row r="17" spans="1:8" ht="12.75">
      <c r="A17" s="7"/>
      <c r="B17" s="256" t="s">
        <v>16</v>
      </c>
      <c r="C17" s="253"/>
      <c r="D17" s="254"/>
      <c r="E17" s="254"/>
      <c r="F17" s="254"/>
      <c r="G17" s="255"/>
      <c r="H17" s="7"/>
    </row>
    <row r="18" spans="1:8" ht="19.5">
      <c r="A18" s="7"/>
      <c r="B18" s="89" t="s">
        <v>17</v>
      </c>
      <c r="C18" s="155" t="s">
        <v>18</v>
      </c>
      <c r="D18" s="129">
        <v>200</v>
      </c>
      <c r="E18" s="45" t="s">
        <v>19</v>
      </c>
      <c r="F18" s="129">
        <v>120</v>
      </c>
      <c r="G18" s="90" t="s">
        <v>19</v>
      </c>
      <c r="H18" s="7"/>
    </row>
    <row r="19" spans="1:8" ht="19.5">
      <c r="A19" s="7"/>
      <c r="B19" s="89" t="s">
        <v>20</v>
      </c>
      <c r="C19" s="155" t="s">
        <v>21</v>
      </c>
      <c r="D19" s="129">
        <v>185</v>
      </c>
      <c r="E19" s="45" t="s">
        <v>19</v>
      </c>
      <c r="F19" s="129">
        <v>0</v>
      </c>
      <c r="G19" s="90" t="s">
        <v>19</v>
      </c>
      <c r="H19" s="7"/>
    </row>
    <row r="20" spans="1:8" ht="19.5">
      <c r="A20" s="7"/>
      <c r="B20" s="91" t="s">
        <v>22</v>
      </c>
      <c r="C20" s="156" t="s">
        <v>23</v>
      </c>
      <c r="D20" s="130">
        <v>1</v>
      </c>
      <c r="E20" s="131" t="s">
        <v>24</v>
      </c>
      <c r="F20" s="130">
        <v>1.2</v>
      </c>
      <c r="G20" s="92" t="s">
        <v>24</v>
      </c>
      <c r="H20" s="7"/>
    </row>
    <row r="21" spans="1:8" ht="12.75">
      <c r="A21" s="7"/>
      <c r="B21" s="186" t="s">
        <v>25</v>
      </c>
      <c r="C21" s="155"/>
      <c r="D21" s="129">
        <v>2</v>
      </c>
      <c r="E21" s="132" t="str">
        <f>IF(D18&lt;0,"Fehler !",IF(D19&gt;0,"Bieg.maßg.",IF(D21=2,"",IF(D21=3,"","Fehler !"))))</f>
        <v>Bieg.maßg.</v>
      </c>
      <c r="F21" s="129">
        <v>2</v>
      </c>
      <c r="G21" s="93">
        <f>IF(F18&lt;0,"Fehler !",IF(F19&gt;0,"Bieg.maßg.",IF(F21=2,"",IF(F21=3,"","Fehler !"))))</f>
      </c>
      <c r="H21" s="7"/>
    </row>
    <row r="22" spans="1:8" ht="12.75">
      <c r="A22" s="7"/>
      <c r="B22" s="187" t="s">
        <v>26</v>
      </c>
      <c r="C22" s="156"/>
      <c r="D22" s="130">
        <v>3</v>
      </c>
      <c r="E22" s="141">
        <f>IF(D19&lt;0,"Fehler !",IF(D19=0,"Tors.maßg.",IF(D22=2,"",IF(D22=3,"","Fehler !"))))</f>
      </c>
      <c r="F22" s="130">
        <v>3</v>
      </c>
      <c r="G22" s="94" t="str">
        <f>IF(F19&lt;0,"Fehler !",IF(F19=0,"Tors.maßg.",IF(F22=2,"",IF(F22=3,"","Fehler !"))))</f>
        <v>Tors.maßg.</v>
      </c>
      <c r="H22" s="7"/>
    </row>
    <row r="23" spans="1:8" ht="12.75">
      <c r="A23" s="7"/>
      <c r="B23" s="151" t="s">
        <v>27</v>
      </c>
      <c r="C23" s="142"/>
      <c r="D23" s="152"/>
      <c r="E23" s="153"/>
      <c r="F23" s="152"/>
      <c r="G23" s="154"/>
      <c r="H23" s="7"/>
    </row>
    <row r="24" spans="1:8" ht="12.75">
      <c r="A24" s="7"/>
      <c r="B24" s="89" t="s">
        <v>28</v>
      </c>
      <c r="C24" s="155"/>
      <c r="D24" s="129">
        <v>1</v>
      </c>
      <c r="E24" s="133">
        <f>IF(D24&lt;1,"Fehler !",IF(D24&gt;4,"Fehler !",""))</f>
      </c>
      <c r="F24" s="129">
        <v>2</v>
      </c>
      <c r="G24" s="95">
        <f>IF(F24&lt;1,"Fehler !",IF(F24&gt;4,"Fehler !",""))</f>
      </c>
      <c r="H24" s="7"/>
    </row>
    <row r="25" spans="1:8" ht="12.75">
      <c r="A25" s="7"/>
      <c r="B25" s="89" t="s">
        <v>29</v>
      </c>
      <c r="C25" s="155" t="s">
        <v>30</v>
      </c>
      <c r="D25" s="129">
        <v>35</v>
      </c>
      <c r="E25" s="133" t="str">
        <f>IF(D24=1,"d  maßg.",IF(D24&gt;4,"Fehler !",E24))</f>
        <v>d  maßg.</v>
      </c>
      <c r="F25" s="129">
        <v>35</v>
      </c>
      <c r="G25" s="95">
        <f>IF(F24=1,"d  maßg.",IF(F24&gt;4,"Fehler !",G24))</f>
      </c>
      <c r="H25" s="7"/>
    </row>
    <row r="26" spans="1:8" ht="12.75">
      <c r="A26" s="7"/>
      <c r="B26" s="91" t="s">
        <v>29</v>
      </c>
      <c r="C26" s="156" t="s">
        <v>31</v>
      </c>
      <c r="D26" s="130">
        <v>35</v>
      </c>
      <c r="E26" s="143">
        <f>IF(D24=1,"",IF(D25&lt;D26,"d &lt; D !",IF(D26=D25,"d &lt; D !",E24)))</f>
      </c>
      <c r="F26" s="130">
        <v>32</v>
      </c>
      <c r="G26" s="96">
        <f>IF(F24=1,"",IF(F25&lt;F26,"d &lt; D !",G24))</f>
      </c>
      <c r="H26" s="7"/>
    </row>
    <row r="27" spans="1:8" ht="12.75">
      <c r="A27" s="7"/>
      <c r="B27" s="89" t="s">
        <v>32</v>
      </c>
      <c r="C27" s="155" t="s">
        <v>33</v>
      </c>
      <c r="D27" s="146" t="s">
        <v>7</v>
      </c>
      <c r="E27" s="134">
        <f>E210</f>
        <v>4209.243281958199</v>
      </c>
      <c r="F27" s="149" t="s">
        <v>7</v>
      </c>
      <c r="G27" s="107">
        <f>G210</f>
        <v>1267.9944798773324</v>
      </c>
      <c r="H27" s="7"/>
    </row>
    <row r="28" spans="1:8" ht="19.5">
      <c r="A28" s="7"/>
      <c r="B28" s="89" t="s">
        <v>32</v>
      </c>
      <c r="C28" s="155" t="s">
        <v>34</v>
      </c>
      <c r="D28" s="146" t="s">
        <v>7</v>
      </c>
      <c r="E28" s="135">
        <f>E211</f>
        <v>8418.486563916398</v>
      </c>
      <c r="F28" s="149" t="s">
        <v>7</v>
      </c>
      <c r="G28" s="108">
        <f>G211</f>
        <v>2535.988959754665</v>
      </c>
      <c r="H28" s="7"/>
    </row>
    <row r="29" spans="1:8" ht="19.5">
      <c r="A29" s="7"/>
      <c r="B29" s="97" t="s">
        <v>35</v>
      </c>
      <c r="C29" s="157" t="s">
        <v>36</v>
      </c>
      <c r="D29" s="146" t="s">
        <v>7</v>
      </c>
      <c r="E29" s="135">
        <f>D19*D20*1000/E27</f>
        <v>43.95089273954615</v>
      </c>
      <c r="F29" s="149" t="s">
        <v>7</v>
      </c>
      <c r="G29" s="108">
        <f>F19*F20*1000/G27</f>
        <v>0</v>
      </c>
      <c r="H29" s="7"/>
    </row>
    <row r="30" spans="1:8" ht="19.5">
      <c r="A30" s="7"/>
      <c r="B30" s="97" t="s">
        <v>37</v>
      </c>
      <c r="C30" s="157" t="s">
        <v>38</v>
      </c>
      <c r="D30" s="146" t="s">
        <v>7</v>
      </c>
      <c r="E30" s="135">
        <f>D18*D20*1000/E28</f>
        <v>23.75723931867359</v>
      </c>
      <c r="F30" s="149" t="s">
        <v>7</v>
      </c>
      <c r="G30" s="108">
        <f>F18*F20*1000/G28</f>
        <v>56.78258158266224</v>
      </c>
      <c r="H30" s="7"/>
    </row>
    <row r="31" spans="1:8" ht="19.5">
      <c r="A31" s="7"/>
      <c r="B31" s="91" t="s">
        <v>39</v>
      </c>
      <c r="C31" s="158" t="s">
        <v>40</v>
      </c>
      <c r="D31" s="147" t="s">
        <v>7</v>
      </c>
      <c r="E31" s="144">
        <f>IF(D21=3,1,0.7)</f>
        <v>0.7</v>
      </c>
      <c r="F31" s="147" t="s">
        <v>7</v>
      </c>
      <c r="G31" s="145">
        <f>IF(F21=3,1,0.7)</f>
        <v>0.7</v>
      </c>
      <c r="H31" s="7"/>
    </row>
    <row r="32" spans="1:8" ht="20.25" thickBot="1">
      <c r="A32" s="7"/>
      <c r="B32" s="137" t="s">
        <v>41</v>
      </c>
      <c r="C32" s="138" t="s">
        <v>42</v>
      </c>
      <c r="D32" s="148" t="s">
        <v>7</v>
      </c>
      <c r="E32" s="139">
        <f>(E29^2+3*(E31*E30)^2)^0.5</f>
        <v>52.54862900275177</v>
      </c>
      <c r="F32" s="148" t="s">
        <v>7</v>
      </c>
      <c r="G32" s="140">
        <f>(G29^2+3*(G31*G30)^2)^0.5</f>
        <v>68.84522140026705</v>
      </c>
      <c r="H32" s="7"/>
    </row>
    <row r="33" spans="1:8" ht="13.5" thickBot="1">
      <c r="A33" s="7"/>
      <c r="B33" s="161"/>
      <c r="C33" s="161"/>
      <c r="D33" s="120"/>
      <c r="E33" s="120"/>
      <c r="F33" s="120"/>
      <c r="G33" s="120"/>
      <c r="H33" s="7"/>
    </row>
    <row r="34" spans="1:8" ht="15.75" customHeight="1" thickBot="1">
      <c r="A34" s="7"/>
      <c r="B34" s="102" t="s">
        <v>43</v>
      </c>
      <c r="C34" s="112"/>
      <c r="D34" s="103"/>
      <c r="E34" s="103"/>
      <c r="F34" s="103"/>
      <c r="G34" s="104"/>
      <c r="H34" s="7"/>
    </row>
    <row r="35" spans="1:8" ht="12.75">
      <c r="A35" s="7"/>
      <c r="B35" s="162" t="s">
        <v>44</v>
      </c>
      <c r="C35" s="163"/>
      <c r="D35" s="5"/>
      <c r="E35" s="5"/>
      <c r="F35" s="5"/>
      <c r="G35" s="164"/>
      <c r="H35" s="7"/>
    </row>
    <row r="36" spans="1:8" ht="12.75">
      <c r="A36" s="7"/>
      <c r="B36" s="113" t="s">
        <v>45</v>
      </c>
      <c r="C36" s="117"/>
      <c r="D36" s="165" t="s">
        <v>7</v>
      </c>
      <c r="E36" s="120" t="s">
        <v>7</v>
      </c>
      <c r="F36" s="165" t="s">
        <v>7</v>
      </c>
      <c r="G36" s="88" t="s">
        <v>7</v>
      </c>
      <c r="H36" s="7"/>
    </row>
    <row r="37" spans="1:8" ht="12.75">
      <c r="A37" s="7"/>
      <c r="B37" s="97" t="s">
        <v>46</v>
      </c>
      <c r="C37" s="136"/>
      <c r="D37" s="166">
        <v>1</v>
      </c>
      <c r="E37" s="159">
        <f>IF(D37&lt;1,"Fehler !",IF(D37&gt;3,"Fehler !",""))</f>
      </c>
      <c r="F37" s="166">
        <v>1</v>
      </c>
      <c r="G37" s="105">
        <f>IF(F37&lt;1,"Fehler !",IF(F37&gt;3,"Fehler !",""))</f>
      </c>
      <c r="H37" s="7"/>
    </row>
    <row r="38" spans="1:8" ht="19.5">
      <c r="A38" s="7"/>
      <c r="B38" s="97" t="s">
        <v>47</v>
      </c>
      <c r="C38" s="136" t="s">
        <v>48</v>
      </c>
      <c r="D38" s="166">
        <v>470</v>
      </c>
      <c r="E38" s="120" t="s">
        <v>49</v>
      </c>
      <c r="F38" s="166">
        <v>470</v>
      </c>
      <c r="G38" s="88" t="s">
        <v>49</v>
      </c>
      <c r="H38" s="7"/>
    </row>
    <row r="39" spans="1:8" ht="19.5">
      <c r="A39" s="7"/>
      <c r="B39" s="97" t="s">
        <v>50</v>
      </c>
      <c r="C39" s="136" t="s">
        <v>51</v>
      </c>
      <c r="D39" s="166">
        <v>295</v>
      </c>
      <c r="E39" s="120" t="s">
        <v>49</v>
      </c>
      <c r="F39" s="166">
        <v>295</v>
      </c>
      <c r="G39" s="88" t="s">
        <v>49</v>
      </c>
      <c r="H39" s="7"/>
    </row>
    <row r="40" spans="1:8" ht="19.5">
      <c r="A40" s="7"/>
      <c r="B40" s="106" t="s">
        <v>52</v>
      </c>
      <c r="C40" s="169" t="s">
        <v>53</v>
      </c>
      <c r="D40" s="168" t="s">
        <v>7</v>
      </c>
      <c r="E40" s="170">
        <f>E189</f>
        <v>235.00078333594445</v>
      </c>
      <c r="F40" s="168" t="s">
        <v>7</v>
      </c>
      <c r="G40" s="172">
        <f>G189</f>
        <v>188.8</v>
      </c>
      <c r="H40" s="7"/>
    </row>
    <row r="41" spans="1:8" ht="12.75">
      <c r="A41" s="7"/>
      <c r="B41" s="162" t="s">
        <v>54</v>
      </c>
      <c r="C41" s="163"/>
      <c r="D41" s="5"/>
      <c r="E41" s="5"/>
      <c r="F41" s="5"/>
      <c r="G41" s="145"/>
      <c r="H41" s="7"/>
    </row>
    <row r="42" spans="1:8" ht="12.75">
      <c r="A42" s="7"/>
      <c r="B42" s="97" t="s">
        <v>55</v>
      </c>
      <c r="C42" s="136" t="s">
        <v>56</v>
      </c>
      <c r="D42" s="165" t="s">
        <v>7</v>
      </c>
      <c r="E42" s="211">
        <f>IF(D24=2,D25,D26)</f>
        <v>35</v>
      </c>
      <c r="F42" s="212" t="s">
        <v>7</v>
      </c>
      <c r="G42" s="213">
        <f>IF(F24=2,F25,F26)</f>
        <v>35</v>
      </c>
      <c r="H42" s="7"/>
    </row>
    <row r="43" spans="1:8" ht="19.5">
      <c r="A43" s="7"/>
      <c r="B43" s="97" t="s">
        <v>57</v>
      </c>
      <c r="C43" s="136" t="s">
        <v>58</v>
      </c>
      <c r="D43" s="167">
        <v>16</v>
      </c>
      <c r="E43" s="136" t="s">
        <v>59</v>
      </c>
      <c r="F43" s="166">
        <v>6.3</v>
      </c>
      <c r="G43" s="109" t="s">
        <v>59</v>
      </c>
      <c r="H43" s="7"/>
    </row>
    <row r="44" spans="1:8" ht="19.5">
      <c r="A44" s="7"/>
      <c r="B44" s="97" t="s">
        <v>60</v>
      </c>
      <c r="C44" s="136" t="s">
        <v>61</v>
      </c>
      <c r="D44" s="166">
        <v>1.5</v>
      </c>
      <c r="E44" s="136" t="s">
        <v>24</v>
      </c>
      <c r="F44" s="166">
        <v>1.5</v>
      </c>
      <c r="G44" s="109" t="s">
        <v>24</v>
      </c>
      <c r="H44" s="7"/>
    </row>
    <row r="45" spans="1:8" ht="16.5">
      <c r="A45" s="7"/>
      <c r="B45" s="106" t="s">
        <v>62</v>
      </c>
      <c r="C45" s="169" t="s">
        <v>63</v>
      </c>
      <c r="D45" s="168" t="s">
        <v>7</v>
      </c>
      <c r="E45" s="171">
        <f>E230*E241/D44</f>
        <v>0.5295454651966155</v>
      </c>
      <c r="F45" s="168" t="s">
        <v>7</v>
      </c>
      <c r="G45" s="173">
        <f>G230*G241/F44</f>
        <v>0.5652382620257065</v>
      </c>
      <c r="H45" s="7"/>
    </row>
    <row r="46" spans="1:8" ht="17.25" customHeight="1" thickBot="1">
      <c r="A46" s="7"/>
      <c r="B46" s="137" t="s">
        <v>64</v>
      </c>
      <c r="C46" s="138" t="s">
        <v>65</v>
      </c>
      <c r="D46" s="148" t="s">
        <v>7</v>
      </c>
      <c r="E46" s="139">
        <f>E45*E40</f>
        <v>124.44359913320174</v>
      </c>
      <c r="F46" s="148" t="s">
        <v>7</v>
      </c>
      <c r="G46" s="140">
        <f>G45*G40</f>
        <v>106.71698387045339</v>
      </c>
      <c r="H46" s="7"/>
    </row>
    <row r="47" spans="1:8" ht="13.5" thickBot="1">
      <c r="A47" s="7"/>
      <c r="B47" s="120"/>
      <c r="C47" s="120"/>
      <c r="D47" s="120"/>
      <c r="E47" s="120"/>
      <c r="F47" s="120"/>
      <c r="G47" s="120"/>
      <c r="H47" s="7"/>
    </row>
    <row r="48" spans="1:8" ht="12.75">
      <c r="A48" s="7"/>
      <c r="B48" s="174"/>
      <c r="C48" s="175"/>
      <c r="D48" s="183"/>
      <c r="E48" s="175"/>
      <c r="F48" s="183"/>
      <c r="G48" s="176"/>
      <c r="H48" s="7"/>
    </row>
    <row r="49" spans="1:8" ht="14.25">
      <c r="A49" s="7"/>
      <c r="B49" s="177" t="s">
        <v>66</v>
      </c>
      <c r="C49" s="114"/>
      <c r="D49" s="184" t="s">
        <v>67</v>
      </c>
      <c r="E49" s="160">
        <f>E46/E32</f>
        <v>2.3681607207427833</v>
      </c>
      <c r="F49" s="184" t="s">
        <v>68</v>
      </c>
      <c r="G49" s="178">
        <f>G46/G32</f>
        <v>1.5501000897360675</v>
      </c>
      <c r="H49" s="7"/>
    </row>
    <row r="50" spans="1:8" ht="13.5" thickBot="1">
      <c r="A50" s="7"/>
      <c r="B50" s="179"/>
      <c r="C50" s="180"/>
      <c r="D50" s="185"/>
      <c r="E50" s="181"/>
      <c r="F50" s="185"/>
      <c r="G50" s="182"/>
      <c r="H50" s="7"/>
    </row>
    <row r="51" spans="1:8" ht="12.75">
      <c r="A51" s="7"/>
      <c r="B51" s="7"/>
      <c r="C51" s="7"/>
      <c r="D51" s="7"/>
      <c r="E51" s="7"/>
      <c r="F51" s="7"/>
      <c r="G51" s="7"/>
      <c r="H51" s="7"/>
    </row>
    <row r="52" spans="1:8" ht="12.75">
      <c r="A52" s="7"/>
      <c r="B52" s="7"/>
      <c r="C52" s="7"/>
      <c r="D52" s="7"/>
      <c r="E52" s="7"/>
      <c r="F52" s="7"/>
      <c r="G52" s="7"/>
      <c r="H52" s="7"/>
    </row>
    <row r="53" spans="1:8" ht="12.75">
      <c r="A53" s="7"/>
      <c r="B53" s="7"/>
      <c r="C53" s="7"/>
      <c r="D53" s="7"/>
      <c r="E53" s="7"/>
      <c r="F53" s="7"/>
      <c r="G53" s="7"/>
      <c r="H53" s="7"/>
    </row>
    <row r="54" spans="1:8" ht="12.75">
      <c r="A54" s="7"/>
      <c r="B54" s="7"/>
      <c r="C54" s="7"/>
      <c r="D54" s="7"/>
      <c r="E54" s="7"/>
      <c r="F54" s="7"/>
      <c r="G54" s="7"/>
      <c r="H54" s="7"/>
    </row>
    <row r="55" spans="1:8" ht="12.75">
      <c r="A55" s="7"/>
      <c r="B55" s="7"/>
      <c r="C55" s="7"/>
      <c r="D55" s="7"/>
      <c r="E55" s="7"/>
      <c r="F55" s="7"/>
      <c r="G55" s="7"/>
      <c r="H55" s="7"/>
    </row>
    <row r="56" spans="1:8" ht="12.75">
      <c r="A56" s="7"/>
      <c r="B56" s="7"/>
      <c r="C56" s="7"/>
      <c r="D56" s="7"/>
      <c r="E56" s="7"/>
      <c r="F56" s="7"/>
      <c r="G56" s="7"/>
      <c r="H56" s="7"/>
    </row>
    <row r="57" spans="1:8" ht="12.75">
      <c r="A57" s="7"/>
      <c r="B57" s="7"/>
      <c r="C57" s="7"/>
      <c r="D57" s="7"/>
      <c r="E57" s="7"/>
      <c r="F57" s="7"/>
      <c r="G57" s="7"/>
      <c r="H57" s="7"/>
    </row>
    <row r="58" spans="1:8" ht="12.75">
      <c r="A58" s="7"/>
      <c r="B58" s="7"/>
      <c r="C58" s="7"/>
      <c r="D58" s="7"/>
      <c r="E58" s="7"/>
      <c r="F58" s="7"/>
      <c r="G58" s="7"/>
      <c r="H58" s="7"/>
    </row>
    <row r="59" spans="1:8" ht="12.75">
      <c r="A59" s="7"/>
      <c r="B59" s="7"/>
      <c r="C59" s="7"/>
      <c r="D59" s="7"/>
      <c r="E59" s="7"/>
      <c r="F59" s="7"/>
      <c r="G59" s="7"/>
      <c r="H59" s="7"/>
    </row>
    <row r="60" spans="1:8" ht="12.75">
      <c r="A60" s="7"/>
      <c r="B60" s="7"/>
      <c r="C60" s="7"/>
      <c r="D60" s="7"/>
      <c r="E60" s="7"/>
      <c r="F60" s="7"/>
      <c r="G60" s="7"/>
      <c r="H60" s="7"/>
    </row>
    <row r="61" spans="1:8" ht="12.75">
      <c r="A61" s="7"/>
      <c r="B61" s="7"/>
      <c r="C61" s="7"/>
      <c r="D61" s="7"/>
      <c r="E61" s="7"/>
      <c r="F61" s="7"/>
      <c r="G61" s="7"/>
      <c r="H61" s="7"/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/>
      <c r="B63" s="7"/>
      <c r="C63" s="7"/>
      <c r="D63" s="7"/>
      <c r="E63" s="7"/>
      <c r="F63" s="7"/>
      <c r="G63" s="7"/>
      <c r="H63" s="7"/>
    </row>
    <row r="100" ht="13.5" thickBot="1"/>
    <row r="101" spans="2:7" ht="12.75">
      <c r="B101" s="258" t="str">
        <f>B2</f>
        <v> Projekt-Nummer: ..............................................................</v>
      </c>
      <c r="C101" s="259"/>
      <c r="D101" s="308" t="str">
        <f>D2</f>
        <v>Christian</v>
      </c>
      <c r="E101" s="268"/>
      <c r="F101" s="302" t="str">
        <f>F2</f>
        <v>Arb.Bl.:</v>
      </c>
      <c r="G101" s="303" t="str">
        <f>G2</f>
        <v>NYD-1L</v>
      </c>
    </row>
    <row r="102" spans="2:7" ht="13.5" thickBot="1">
      <c r="B102" s="260" t="str">
        <f>B3</f>
        <v> Bearbeiter ..........................................................................</v>
      </c>
      <c r="C102" s="261"/>
      <c r="D102" s="309" t="str">
        <f>D3</f>
        <v>Mendera</v>
      </c>
      <c r="E102" s="310"/>
      <c r="F102" s="304" t="str">
        <f>F3</f>
        <v>Datum:</v>
      </c>
      <c r="G102" s="305">
        <f>G3</f>
        <v>37217</v>
      </c>
    </row>
    <row r="103" spans="2:7" ht="13.5" thickBot="1">
      <c r="B103" s="262"/>
      <c r="C103" s="262"/>
      <c r="D103" s="262"/>
      <c r="E103" s="262"/>
      <c r="F103" s="262"/>
      <c r="G103" s="262"/>
    </row>
    <row r="104" spans="2:7" ht="12.75">
      <c r="B104" s="258" t="s">
        <v>7</v>
      </c>
      <c r="C104" s="259"/>
      <c r="D104" s="259"/>
      <c r="E104" s="259"/>
      <c r="F104" s="259"/>
      <c r="G104" s="263"/>
    </row>
    <row r="105" spans="2:7" ht="12.75">
      <c r="B105" s="307" t="str">
        <f>B6</f>
        <v> Dauerfestigkeitsnachweis (Welle)</v>
      </c>
      <c r="C105" s="264"/>
      <c r="D105" s="264"/>
      <c r="E105" s="264"/>
      <c r="F105" s="264"/>
      <c r="G105" s="265"/>
    </row>
    <row r="106" spans="2:7" ht="13.5" thickBot="1">
      <c r="B106" s="260" t="str">
        <f>B7</f>
        <v> </v>
      </c>
      <c r="C106" s="261"/>
      <c r="D106" s="261"/>
      <c r="E106" s="261"/>
      <c r="F106" s="261"/>
      <c r="G106" s="266"/>
    </row>
    <row r="107" spans="2:7" ht="12.75">
      <c r="B107" s="258" t="str">
        <f>B13</f>
        <v> </v>
      </c>
      <c r="C107" s="259" t="s">
        <v>7</v>
      </c>
      <c r="D107" s="267" t="str">
        <f>D13</f>
        <v>Querschnitt</v>
      </c>
      <c r="E107" s="268"/>
      <c r="F107" s="267" t="str">
        <f>F13</f>
        <v>Querschnitt</v>
      </c>
      <c r="G107" s="269"/>
    </row>
    <row r="108" spans="2:7" ht="14.25">
      <c r="B108" s="306" t="s">
        <v>7</v>
      </c>
      <c r="C108" s="270" t="s">
        <v>7</v>
      </c>
      <c r="D108" s="271" t="str">
        <f>D14</f>
        <v>1-1</v>
      </c>
      <c r="E108" s="264"/>
      <c r="F108" s="271" t="str">
        <f>F14</f>
        <v>2-2</v>
      </c>
      <c r="G108" s="265"/>
    </row>
    <row r="109" spans="2:7" ht="13.5" thickBot="1">
      <c r="B109" s="272"/>
      <c r="C109" s="261"/>
      <c r="D109" s="273"/>
      <c r="E109" s="261"/>
      <c r="F109" s="273"/>
      <c r="G109" s="266"/>
    </row>
    <row r="110" spans="2:7" ht="12.75">
      <c r="B110" s="274" t="s">
        <v>16</v>
      </c>
      <c r="C110" s="275" t="s">
        <v>7</v>
      </c>
      <c r="D110" s="276" t="s">
        <v>7</v>
      </c>
      <c r="E110" s="276" t="s">
        <v>7</v>
      </c>
      <c r="F110" s="276" t="s">
        <v>7</v>
      </c>
      <c r="G110" s="277" t="s">
        <v>7</v>
      </c>
    </row>
    <row r="111" spans="2:7" ht="19.5">
      <c r="B111" s="278" t="str">
        <f aca="true" t="shared" si="0" ref="B111:B119">B18</f>
        <v>aufzunehmendes Drehmoment</v>
      </c>
      <c r="C111" s="270" t="s">
        <v>18</v>
      </c>
      <c r="D111" s="279">
        <f aca="true" t="shared" si="1" ref="D111:G115">D18</f>
        <v>200</v>
      </c>
      <c r="E111" s="270" t="str">
        <f t="shared" si="1"/>
        <v>Nm</v>
      </c>
      <c r="F111" s="279">
        <f t="shared" si="1"/>
        <v>120</v>
      </c>
      <c r="G111" s="280" t="str">
        <f t="shared" si="1"/>
        <v>Nm</v>
      </c>
    </row>
    <row r="112" spans="2:7" ht="19.5">
      <c r="B112" s="278" t="str">
        <f t="shared" si="0"/>
        <v>aufzunehmendes Biegemoment</v>
      </c>
      <c r="C112" s="270" t="s">
        <v>21</v>
      </c>
      <c r="D112" s="279">
        <f t="shared" si="1"/>
        <v>185</v>
      </c>
      <c r="E112" s="270" t="str">
        <f t="shared" si="1"/>
        <v>Nm</v>
      </c>
      <c r="F112" s="279">
        <f t="shared" si="1"/>
        <v>0</v>
      </c>
      <c r="G112" s="280" t="str">
        <f t="shared" si="1"/>
        <v>Nm</v>
      </c>
    </row>
    <row r="113" spans="2:7" ht="19.5">
      <c r="B113" s="278" t="str">
        <f t="shared" si="0"/>
        <v>Betriebsfaktor entspr. Belastungsverh.</v>
      </c>
      <c r="C113" s="270" t="s">
        <v>23</v>
      </c>
      <c r="D113" s="279">
        <f t="shared" si="1"/>
        <v>1</v>
      </c>
      <c r="E113" s="270" t="str">
        <f t="shared" si="1"/>
        <v>(-)</v>
      </c>
      <c r="F113" s="279">
        <f t="shared" si="1"/>
        <v>1.2</v>
      </c>
      <c r="G113" s="280" t="str">
        <f t="shared" si="1"/>
        <v>(-)</v>
      </c>
    </row>
    <row r="114" spans="2:7" ht="12.75">
      <c r="B114" s="278" t="str">
        <f t="shared" si="0"/>
        <v>        Lastfall:   Torsion    II&lt;2&gt;  III&lt;3&gt;</v>
      </c>
      <c r="C114" s="281" t="s">
        <v>69</v>
      </c>
      <c r="D114" s="279">
        <f t="shared" si="1"/>
        <v>2</v>
      </c>
      <c r="E114" s="270" t="str">
        <f t="shared" si="1"/>
        <v>Bieg.maßg.</v>
      </c>
      <c r="F114" s="279">
        <f t="shared" si="1"/>
        <v>2</v>
      </c>
      <c r="G114" s="280">
        <f t="shared" si="1"/>
      </c>
    </row>
    <row r="115" spans="2:7" ht="12.75">
      <c r="B115" s="282" t="str">
        <f t="shared" si="0"/>
        <v>        Lastfall:   Biegung   II&lt;2&gt;  III&lt;3&gt;</v>
      </c>
      <c r="C115" s="283" t="s">
        <v>69</v>
      </c>
      <c r="D115" s="284">
        <f t="shared" si="1"/>
        <v>3</v>
      </c>
      <c r="E115" s="285">
        <f t="shared" si="1"/>
      </c>
      <c r="F115" s="284">
        <f t="shared" si="1"/>
        <v>3</v>
      </c>
      <c r="G115" s="286" t="str">
        <f t="shared" si="1"/>
        <v>Tors.maßg.</v>
      </c>
    </row>
    <row r="116" spans="2:7" ht="12.75">
      <c r="B116" s="287" t="str">
        <f t="shared" si="0"/>
        <v>Geometriedaten</v>
      </c>
      <c r="C116" s="285" t="s">
        <v>7</v>
      </c>
      <c r="D116" s="285" t="s">
        <v>7</v>
      </c>
      <c r="E116" s="285" t="s">
        <v>7</v>
      </c>
      <c r="F116" s="285" t="s">
        <v>7</v>
      </c>
      <c r="G116" s="286" t="s">
        <v>7</v>
      </c>
    </row>
    <row r="117" spans="2:7" ht="12.75">
      <c r="B117" s="278" t="str">
        <f t="shared" si="0"/>
        <v>Querschnitt nach TB11-3   Zeile   1,2,3,4 </v>
      </c>
      <c r="C117" s="270" t="s">
        <v>7</v>
      </c>
      <c r="D117" s="279">
        <f>D24</f>
        <v>1</v>
      </c>
      <c r="E117" s="270">
        <f>E24</f>
      </c>
      <c r="F117" s="279">
        <f>F24</f>
        <v>2</v>
      </c>
      <c r="G117" s="280">
        <f>G24</f>
      </c>
    </row>
    <row r="118" spans="2:7" ht="12.75">
      <c r="B118" s="278" t="str">
        <f t="shared" si="0"/>
        <v>Durchmesser (mm)</v>
      </c>
      <c r="C118" s="270" t="str">
        <f>C25</f>
        <v>D</v>
      </c>
      <c r="D118" s="288" t="str">
        <f>IF(D24=1,"-",D25)</f>
        <v>-</v>
      </c>
      <c r="E118" s="289" t="str">
        <f>E25</f>
        <v>d  maßg.</v>
      </c>
      <c r="F118" s="288">
        <f>IF(F24=1,"-",F25)</f>
        <v>35</v>
      </c>
      <c r="G118" s="290">
        <f>G25</f>
      </c>
    </row>
    <row r="119" spans="2:7" ht="12.75">
      <c r="B119" s="278" t="str">
        <f t="shared" si="0"/>
        <v>Durchmesser (mm)</v>
      </c>
      <c r="C119" s="270" t="str">
        <f>C26</f>
        <v>d</v>
      </c>
      <c r="D119" s="279">
        <f>D26</f>
        <v>35</v>
      </c>
      <c r="E119" s="270">
        <f>E26</f>
      </c>
      <c r="F119" s="279">
        <f>F26</f>
        <v>32</v>
      </c>
      <c r="G119" s="280">
        <f>G26</f>
      </c>
    </row>
    <row r="120" spans="2:7" ht="19.5">
      <c r="B120" s="278" t="str">
        <f>B43</f>
        <v>Rauhtiefe (µm)</v>
      </c>
      <c r="C120" s="270" t="s">
        <v>58</v>
      </c>
      <c r="D120" s="279">
        <f aca="true" t="shared" si="2" ref="D120:G121">D43</f>
        <v>16</v>
      </c>
      <c r="E120" s="270" t="str">
        <f t="shared" si="2"/>
        <v>µm</v>
      </c>
      <c r="F120" s="279">
        <f t="shared" si="2"/>
        <v>6.3</v>
      </c>
      <c r="G120" s="280" t="str">
        <f t="shared" si="2"/>
        <v>µm</v>
      </c>
    </row>
    <row r="121" spans="2:7" ht="19.5">
      <c r="B121" s="282" t="str">
        <f>B44</f>
        <v>Kerbwirkungszahl </v>
      </c>
      <c r="C121" s="285" t="s">
        <v>61</v>
      </c>
      <c r="D121" s="284">
        <f t="shared" si="2"/>
        <v>1.5</v>
      </c>
      <c r="E121" s="285" t="str">
        <f t="shared" si="2"/>
        <v>(-)</v>
      </c>
      <c r="F121" s="284">
        <f t="shared" si="2"/>
        <v>1.5</v>
      </c>
      <c r="G121" s="286" t="str">
        <f t="shared" si="2"/>
        <v>(-)</v>
      </c>
    </row>
    <row r="122" spans="2:7" ht="12.75">
      <c r="B122" s="287" t="str">
        <f>B35</f>
        <v>Werkstoffdaten</v>
      </c>
      <c r="C122" s="285"/>
      <c r="D122" s="285"/>
      <c r="E122" s="285"/>
      <c r="F122" s="285"/>
      <c r="G122" s="286"/>
    </row>
    <row r="123" spans="2:7" ht="12.75">
      <c r="B123" s="278" t="str">
        <f>B36</f>
        <v>Stahlart:</v>
      </c>
      <c r="C123" s="270"/>
      <c r="D123" s="271" t="str">
        <f>IF(D37=1,"Baustahl",IF(D37=2,"Vergütungsstahl",IF(D37=3,"Einsatzstahl","")))</f>
        <v>Baustahl</v>
      </c>
      <c r="E123" s="264"/>
      <c r="F123" s="271" t="str">
        <f>IF(F37=1,"Baustahl",IF(F37=2,"Vergütungsstahl",IF(F37=3,"Einsatzstahl","")))</f>
        <v>Baustahl</v>
      </c>
      <c r="G123" s="265"/>
    </row>
    <row r="124" spans="2:7" ht="19.5">
      <c r="B124" s="278" t="str">
        <f>B38</f>
        <v>Zugfestigkeit nach   TB1-4</v>
      </c>
      <c r="C124" s="270" t="s">
        <v>48</v>
      </c>
      <c r="D124" s="279">
        <f aca="true" t="shared" si="3" ref="D124:G125">D38</f>
        <v>470</v>
      </c>
      <c r="E124" s="270" t="str">
        <f t="shared" si="3"/>
        <v>N/mm²</v>
      </c>
      <c r="F124" s="279">
        <f t="shared" si="3"/>
        <v>470</v>
      </c>
      <c r="G124" s="280" t="str">
        <f t="shared" si="3"/>
        <v>N/mm²</v>
      </c>
    </row>
    <row r="125" spans="2:7" ht="19.5">
      <c r="B125" s="282" t="str">
        <f>B39</f>
        <v>Streckgrenze  nach TB1-4</v>
      </c>
      <c r="C125" s="285" t="s">
        <v>51</v>
      </c>
      <c r="D125" s="284">
        <f t="shared" si="3"/>
        <v>295</v>
      </c>
      <c r="E125" s="285" t="str">
        <f t="shared" si="3"/>
        <v>N/mm²</v>
      </c>
      <c r="F125" s="284">
        <f t="shared" si="3"/>
        <v>295</v>
      </c>
      <c r="G125" s="286" t="str">
        <f t="shared" si="3"/>
        <v>N/mm²</v>
      </c>
    </row>
    <row r="126" spans="2:8" ht="19.5">
      <c r="B126" s="278" t="s">
        <v>70</v>
      </c>
      <c r="C126" s="291" t="s">
        <v>36</v>
      </c>
      <c r="D126" s="292">
        <f>E29</f>
        <v>43.95089273954615</v>
      </c>
      <c r="E126" s="270" t="s">
        <v>49</v>
      </c>
      <c r="F126" s="292">
        <f>G29</f>
        <v>0</v>
      </c>
      <c r="G126" s="280" t="s">
        <v>49</v>
      </c>
      <c r="H126" s="7"/>
    </row>
    <row r="127" spans="2:8" ht="19.5">
      <c r="B127" s="278" t="s">
        <v>71</v>
      </c>
      <c r="C127" s="291" t="s">
        <v>38</v>
      </c>
      <c r="D127" s="292">
        <f>E30</f>
        <v>23.75723931867359</v>
      </c>
      <c r="E127" s="270" t="s">
        <v>49</v>
      </c>
      <c r="F127" s="292">
        <f>G30</f>
        <v>56.78258158266224</v>
      </c>
      <c r="G127" s="280" t="s">
        <v>49</v>
      </c>
      <c r="H127" s="7"/>
    </row>
    <row r="128" spans="2:8" ht="19.5">
      <c r="B128" s="278" t="s">
        <v>72</v>
      </c>
      <c r="C128" s="291" t="s">
        <v>42</v>
      </c>
      <c r="D128" s="292">
        <f>E32</f>
        <v>52.54862900275177</v>
      </c>
      <c r="E128" s="270" t="s">
        <v>49</v>
      </c>
      <c r="F128" s="292">
        <f>G32</f>
        <v>68.84522140026705</v>
      </c>
      <c r="G128" s="280" t="s">
        <v>49</v>
      </c>
      <c r="H128" s="7"/>
    </row>
    <row r="129" spans="2:8" ht="19.5">
      <c r="B129" s="278" t="s">
        <v>73</v>
      </c>
      <c r="C129" s="291" t="s">
        <v>53</v>
      </c>
      <c r="D129" s="292">
        <f>E40</f>
        <v>235.00078333594445</v>
      </c>
      <c r="E129" s="270" t="s">
        <v>49</v>
      </c>
      <c r="F129" s="292">
        <f>G40</f>
        <v>188.8</v>
      </c>
      <c r="G129" s="280" t="s">
        <v>49</v>
      </c>
      <c r="H129" s="45"/>
    </row>
    <row r="130" spans="2:8" ht="19.5">
      <c r="B130" s="278" t="s">
        <v>74</v>
      </c>
      <c r="C130" s="291" t="s">
        <v>63</v>
      </c>
      <c r="D130" s="293">
        <f>E45</f>
        <v>0.5295454651966155</v>
      </c>
      <c r="E130" s="270" t="s">
        <v>49</v>
      </c>
      <c r="F130" s="293">
        <f>G45</f>
        <v>0.5652382620257065</v>
      </c>
      <c r="G130" s="280" t="s">
        <v>49</v>
      </c>
      <c r="H130" s="45"/>
    </row>
    <row r="131" spans="2:8" ht="20.25" thickBot="1">
      <c r="B131" s="260" t="s">
        <v>75</v>
      </c>
      <c r="C131" s="294" t="s">
        <v>65</v>
      </c>
      <c r="D131" s="295">
        <f>E46</f>
        <v>124.44359913320174</v>
      </c>
      <c r="E131" s="261" t="s">
        <v>49</v>
      </c>
      <c r="F131" s="295">
        <f>G46</f>
        <v>106.71698387045339</v>
      </c>
      <c r="G131" s="266" t="s">
        <v>49</v>
      </c>
      <c r="H131" s="45"/>
    </row>
    <row r="132" spans="2:8" ht="13.5" thickBot="1">
      <c r="B132" s="262"/>
      <c r="C132" s="262"/>
      <c r="D132" s="262"/>
      <c r="E132" s="296"/>
      <c r="F132" s="262"/>
      <c r="G132" s="296"/>
      <c r="H132" s="45"/>
    </row>
    <row r="133" spans="2:8" ht="20.25" thickBot="1">
      <c r="B133" s="297" t="str">
        <f>B49</f>
        <v>vorh. Sicherheit gegen Dauerbruch</v>
      </c>
      <c r="C133" s="298"/>
      <c r="D133" s="299" t="s">
        <v>76</v>
      </c>
      <c r="E133" s="300">
        <f>E49</f>
        <v>2.3681607207427833</v>
      </c>
      <c r="F133" s="299" t="s">
        <v>76</v>
      </c>
      <c r="G133" s="301">
        <f>G49</f>
        <v>1.5501000897360675</v>
      </c>
      <c r="H133" s="45"/>
    </row>
    <row r="134" ht="12.75">
      <c r="H134" s="45"/>
    </row>
    <row r="135" ht="12.75">
      <c r="H135" s="45"/>
    </row>
    <row r="136" ht="12.75">
      <c r="H136" s="45"/>
    </row>
    <row r="137" ht="12.75">
      <c r="H137" s="45"/>
    </row>
    <row r="138" ht="12.75">
      <c r="H138" s="45"/>
    </row>
    <row r="139" ht="12.75">
      <c r="H139" s="45"/>
    </row>
    <row r="140" ht="12.75">
      <c r="H140" s="45"/>
    </row>
    <row r="141" ht="12.75">
      <c r="H141" s="45"/>
    </row>
    <row r="142" ht="12.75">
      <c r="H142" s="45"/>
    </row>
    <row r="143" ht="12.75">
      <c r="H143" s="45"/>
    </row>
    <row r="144" ht="12.75">
      <c r="H144" s="45"/>
    </row>
    <row r="145" ht="12.75">
      <c r="H145" s="45"/>
    </row>
    <row r="146" ht="12.75">
      <c r="H146" s="45"/>
    </row>
    <row r="147" ht="12.75">
      <c r="H147" s="45"/>
    </row>
    <row r="148" ht="12.75">
      <c r="H148" s="45"/>
    </row>
    <row r="149" ht="12.75">
      <c r="H149" s="45"/>
    </row>
    <row r="150" ht="12.75">
      <c r="H150" s="45"/>
    </row>
    <row r="151" ht="12.75">
      <c r="H151" s="45"/>
    </row>
    <row r="152" ht="12.75">
      <c r="H152" s="45"/>
    </row>
    <row r="153" ht="12.75">
      <c r="H153" s="45"/>
    </row>
    <row r="154" spans="1:8" ht="12.75">
      <c r="A154" s="45"/>
      <c r="B154" s="57"/>
      <c r="C154" s="57"/>
      <c r="D154" s="45"/>
      <c r="E154" s="45"/>
      <c r="F154" s="45"/>
      <c r="G154" s="45"/>
      <c r="H154" s="45"/>
    </row>
    <row r="155" spans="1:8" ht="12.75">
      <c r="A155" s="45"/>
      <c r="B155" s="45"/>
      <c r="C155" s="45"/>
      <c r="D155" s="45"/>
      <c r="E155" s="45"/>
      <c r="F155" s="45"/>
      <c r="G155" s="45"/>
      <c r="H155" s="45"/>
    </row>
    <row r="156" spans="1:8" ht="12.75">
      <c r="A156" s="45"/>
      <c r="B156" s="58"/>
      <c r="C156" s="58"/>
      <c r="D156" s="58"/>
      <c r="E156" s="59"/>
      <c r="F156" s="58"/>
      <c r="G156" s="59"/>
      <c r="H156" s="45"/>
    </row>
    <row r="157" spans="1:8" ht="12.75">
      <c r="A157" s="45"/>
      <c r="B157" s="45"/>
      <c r="C157" s="45"/>
      <c r="D157" s="45"/>
      <c r="E157" s="45"/>
      <c r="F157" s="45"/>
      <c r="G157" s="45"/>
      <c r="H157" s="45"/>
    </row>
    <row r="158" spans="1:8" ht="12.75">
      <c r="A158" s="45"/>
      <c r="B158" s="45"/>
      <c r="C158" s="45"/>
      <c r="D158" s="45"/>
      <c r="E158" s="45"/>
      <c r="F158" s="45"/>
      <c r="G158" s="45"/>
      <c r="H158" s="45"/>
    </row>
    <row r="159" spans="1:8" ht="12.75">
      <c r="A159" s="45"/>
      <c r="B159" s="45"/>
      <c r="C159" s="45"/>
      <c r="D159" s="45"/>
      <c r="E159" s="45"/>
      <c r="F159" s="45"/>
      <c r="G159" s="45"/>
      <c r="H159" s="45"/>
    </row>
    <row r="160" spans="1:8" ht="12.75">
      <c r="A160" s="11"/>
      <c r="B160" s="11"/>
      <c r="C160" s="11"/>
      <c r="D160" s="11"/>
      <c r="E160" s="11"/>
      <c r="F160" s="11"/>
      <c r="G160" s="11"/>
      <c r="H160" s="11"/>
    </row>
    <row r="161" spans="1:8" ht="12.75">
      <c r="A161" s="11"/>
      <c r="B161" s="11"/>
      <c r="C161" s="11"/>
      <c r="D161" s="11"/>
      <c r="E161" s="11"/>
      <c r="F161" s="11"/>
      <c r="G161" s="11"/>
      <c r="H161" s="11"/>
    </row>
    <row r="182" spans="1:8" ht="13.5" thickBot="1">
      <c r="A182" s="7"/>
      <c r="B182" s="7"/>
      <c r="C182" s="7"/>
      <c r="D182" s="7"/>
      <c r="E182" s="7"/>
      <c r="F182" s="7"/>
      <c r="G182" s="7"/>
      <c r="H182" s="7"/>
    </row>
    <row r="183" spans="1:8" ht="18.75" thickBot="1">
      <c r="A183" s="7"/>
      <c r="B183" s="214" t="s">
        <v>77</v>
      </c>
      <c r="C183" s="215"/>
      <c r="D183" s="216"/>
      <c r="E183" s="217"/>
      <c r="F183" s="216"/>
      <c r="G183" s="218"/>
      <c r="H183" s="7"/>
    </row>
    <row r="184" spans="1:8" ht="13.5" thickBot="1">
      <c r="A184" s="7"/>
      <c r="B184" s="219" t="s">
        <v>78</v>
      </c>
      <c r="C184" s="220"/>
      <c r="D184" s="216"/>
      <c r="E184" s="217"/>
      <c r="F184" s="216"/>
      <c r="G184" s="218"/>
      <c r="H184" s="7"/>
    </row>
    <row r="185" spans="1:8" ht="12.75">
      <c r="A185" s="7"/>
      <c r="B185" s="121" t="s">
        <v>79</v>
      </c>
      <c r="C185" s="222"/>
      <c r="D185" s="128"/>
      <c r="E185" s="223">
        <f>E224</f>
        <v>377.6</v>
      </c>
      <c r="F185" s="230"/>
      <c r="G185" s="224">
        <f>G224</f>
        <v>188.8</v>
      </c>
      <c r="H185" s="7"/>
    </row>
    <row r="186" spans="1:8" ht="12.75">
      <c r="A186" s="7"/>
      <c r="B186" s="89" t="s">
        <v>80</v>
      </c>
      <c r="C186" s="45"/>
      <c r="D186" s="165"/>
      <c r="E186" s="221">
        <f>(IF(E226&lt;=E224,E226,E224))</f>
        <v>353</v>
      </c>
      <c r="F186" s="231"/>
      <c r="G186" s="225">
        <f>(IF(G226&lt;=G224,G226,G224))</f>
        <v>188.8</v>
      </c>
      <c r="H186" s="7"/>
    </row>
    <row r="187" spans="1:8" ht="12.75">
      <c r="A187" s="7"/>
      <c r="B187" s="89" t="s">
        <v>81</v>
      </c>
      <c r="C187" s="45"/>
      <c r="D187" s="165"/>
      <c r="E187" s="221">
        <f>(IF(E225&lt;=E224,E225,E224))</f>
        <v>235.00007833335945</v>
      </c>
      <c r="F187" s="231"/>
      <c r="G187" s="225">
        <f>(IF(G225&lt;=G224,G225,G224))</f>
        <v>136.30005659242113</v>
      </c>
      <c r="H187" s="7"/>
    </row>
    <row r="188" spans="1:8" ht="12.75">
      <c r="A188" s="7"/>
      <c r="B188" s="89" t="s">
        <v>82</v>
      </c>
      <c r="C188" s="45"/>
      <c r="D188" s="165"/>
      <c r="E188" s="45">
        <f>ROUND(E200,0)</f>
        <v>-1</v>
      </c>
      <c r="F188" s="165"/>
      <c r="G188" s="90">
        <f>ROUND(G200,0)</f>
        <v>0</v>
      </c>
      <c r="H188" s="7"/>
    </row>
    <row r="189" spans="1:8" ht="12.75">
      <c r="A189" s="7"/>
      <c r="B189" s="89" t="s">
        <v>83</v>
      </c>
      <c r="C189" s="45"/>
      <c r="D189" s="165"/>
      <c r="E189" s="221">
        <f>IF(E213&lt;=E214,E213,E214)</f>
        <v>235.00078333594445</v>
      </c>
      <c r="F189" s="231"/>
      <c r="G189" s="225">
        <f>IF(G213&lt;=G214,G213,G214)</f>
        <v>188.8</v>
      </c>
      <c r="H189" s="7"/>
    </row>
    <row r="190" spans="1:8" ht="13.5" thickBot="1">
      <c r="A190" s="7"/>
      <c r="B190" s="118" t="s">
        <v>84</v>
      </c>
      <c r="C190" s="226"/>
      <c r="D190" s="229"/>
      <c r="E190" s="227">
        <f>((E40/2)*(1-E200))</f>
        <v>234.99960833202775</v>
      </c>
      <c r="F190" s="232"/>
      <c r="G190" s="228">
        <f>((G40/2)*(1-G200))</f>
        <v>94.4</v>
      </c>
      <c r="H190" s="7"/>
    </row>
    <row r="191" spans="1:8" ht="13.5" thickBot="1">
      <c r="A191" s="7"/>
      <c r="B191" s="1" t="s">
        <v>85</v>
      </c>
      <c r="C191" s="115"/>
      <c r="D191" s="2"/>
      <c r="E191" s="3"/>
      <c r="F191" s="2"/>
      <c r="G191" s="4"/>
      <c r="H191" s="7"/>
    </row>
    <row r="192" spans="1:8" ht="13.5" thickTop="1">
      <c r="A192" s="7"/>
      <c r="B192" s="121" t="s">
        <v>86</v>
      </c>
      <c r="C192" s="222"/>
      <c r="D192" s="128"/>
      <c r="E192" s="222">
        <f>ROUND(E200,0)</f>
        <v>-1</v>
      </c>
      <c r="F192" s="128"/>
      <c r="G192" s="122">
        <f>ROUND(G200,0)</f>
        <v>0</v>
      </c>
      <c r="H192" s="7"/>
    </row>
    <row r="193" spans="1:8" ht="12.75">
      <c r="A193" s="7"/>
      <c r="B193" s="89" t="s">
        <v>87</v>
      </c>
      <c r="C193" s="45"/>
      <c r="D193" s="165"/>
      <c r="E193" s="221">
        <f>E45*E190</f>
        <v>124.44297691520607</v>
      </c>
      <c r="F193" s="231"/>
      <c r="G193" s="225">
        <f>G45*G190</f>
        <v>53.358491935226695</v>
      </c>
      <c r="H193" s="7"/>
    </row>
    <row r="194" spans="1:8" ht="12.75">
      <c r="A194" s="7"/>
      <c r="B194" s="89" t="s">
        <v>88</v>
      </c>
      <c r="C194" s="45"/>
      <c r="D194" s="165"/>
      <c r="E194" s="45"/>
      <c r="F194" s="165"/>
      <c r="G194" s="90"/>
      <c r="H194" s="7"/>
    </row>
    <row r="195" spans="1:8" ht="12.75">
      <c r="A195" s="7"/>
      <c r="B195" s="89" t="s">
        <v>39</v>
      </c>
      <c r="C195" s="45"/>
      <c r="D195" s="165"/>
      <c r="E195" s="45">
        <f>IF(D19=0,1,IF(D21=2,IF(D22=3,0.7,1),1))</f>
        <v>0.7</v>
      </c>
      <c r="F195" s="165"/>
      <c r="G195" s="90">
        <f>IF(F19=0,1,IF(F21=2,IF(F22=3,0.7,1),1))</f>
        <v>1</v>
      </c>
      <c r="H195" s="7"/>
    </row>
    <row r="196" spans="1:8" ht="12.75">
      <c r="A196" s="7"/>
      <c r="B196" s="89" t="s">
        <v>89</v>
      </c>
      <c r="C196" s="45"/>
      <c r="D196" s="165"/>
      <c r="E196" s="45" t="s">
        <v>7</v>
      </c>
      <c r="F196" s="165"/>
      <c r="G196" s="90" t="s">
        <v>7</v>
      </c>
      <c r="H196" s="7"/>
    </row>
    <row r="197" spans="1:8" ht="12.75">
      <c r="A197" s="7"/>
      <c r="B197" s="89" t="s">
        <v>90</v>
      </c>
      <c r="C197" s="45"/>
      <c r="D197" s="165"/>
      <c r="E197" s="45">
        <f>IF(D18&gt;0,IF(D19=0,3,IF(D19&gt;0,2,#VALUE!)),2)</f>
        <v>2</v>
      </c>
      <c r="F197" s="165"/>
      <c r="G197" s="90">
        <f>IF(F18&gt;0,IF(F19=0,3,IF(F19&gt;0,2,#VALUE!)),2)</f>
        <v>3</v>
      </c>
      <c r="H197" s="7"/>
    </row>
    <row r="198" spans="1:8" ht="12.75">
      <c r="A198" s="7"/>
      <c r="B198" s="89" t="s">
        <v>91</v>
      </c>
      <c r="C198" s="45"/>
      <c r="D198" s="165"/>
      <c r="E198" s="45" t="s">
        <v>7</v>
      </c>
      <c r="F198" s="165"/>
      <c r="G198" s="90" t="s">
        <v>7</v>
      </c>
      <c r="H198" s="7"/>
    </row>
    <row r="199" spans="1:8" ht="12.75">
      <c r="A199" s="7"/>
      <c r="B199" s="89" t="s">
        <v>92</v>
      </c>
      <c r="C199" s="45"/>
      <c r="D199" s="165"/>
      <c r="E199" s="45">
        <f>IF(D18=0,D22,IF(D19=0,D21,D22))</f>
        <v>3</v>
      </c>
      <c r="F199" s="165"/>
      <c r="G199" s="90">
        <f>IF(F18=0,F22,IF(F19=0,F21,F22))</f>
        <v>2</v>
      </c>
      <c r="H199" s="7"/>
    </row>
    <row r="200" spans="1:8" ht="13.5" thickBot="1">
      <c r="A200" s="7"/>
      <c r="B200" s="118" t="s">
        <v>93</v>
      </c>
      <c r="C200" s="226"/>
      <c r="D200" s="229"/>
      <c r="E200" s="226">
        <f>IF(E199=2,0,IF(E199=3,-0.99999,#VALUE!))</f>
        <v>-0.99999</v>
      </c>
      <c r="F200" s="229"/>
      <c r="G200" s="119">
        <f>IF(G199=2,0,IF(G199=3,-0.99999,#VALUE!))</f>
        <v>0</v>
      </c>
      <c r="H200" s="7"/>
    </row>
    <row r="201" spans="1:8" ht="13.5" thickBot="1">
      <c r="A201" s="7"/>
      <c r="B201" s="219" t="s">
        <v>94</v>
      </c>
      <c r="C201" s="220"/>
      <c r="D201" s="216"/>
      <c r="E201" s="217"/>
      <c r="F201" s="216"/>
      <c r="G201" s="218"/>
      <c r="H201" s="7"/>
    </row>
    <row r="202" spans="1:8" ht="12.75">
      <c r="A202" s="7"/>
      <c r="B202" s="89" t="s">
        <v>95</v>
      </c>
      <c r="C202" s="45"/>
      <c r="D202" s="165"/>
      <c r="E202" s="221">
        <f>PI()/32*D26^3</f>
        <v>4209.243281958199</v>
      </c>
      <c r="F202" s="231"/>
      <c r="G202" s="225">
        <f>PI()/32*F26^3</f>
        <v>3216.990877275948</v>
      </c>
      <c r="H202" s="7"/>
    </row>
    <row r="203" spans="1:8" ht="12.75">
      <c r="A203" s="7"/>
      <c r="B203" s="89" t="s">
        <v>96</v>
      </c>
      <c r="C203" s="45"/>
      <c r="D203" s="165"/>
      <c r="E203" s="221">
        <f>PI()/16*D26^3</f>
        <v>8418.486563916398</v>
      </c>
      <c r="F203" s="231"/>
      <c r="G203" s="225">
        <f>PI()/16*F26^3</f>
        <v>6433.981754551896</v>
      </c>
      <c r="H203" s="7"/>
    </row>
    <row r="204" spans="1:8" ht="12.75">
      <c r="A204" s="7"/>
      <c r="B204" s="89" t="s">
        <v>97</v>
      </c>
      <c r="C204" s="45"/>
      <c r="D204" s="165"/>
      <c r="E204" s="221" t="e">
        <f>IF(D25=0,NA(),IF(D25&gt;D26,PI()/32*(D25^4-D26^4)/D25,NA()))</f>
        <v>#N/A</v>
      </c>
      <c r="F204" s="231"/>
      <c r="G204" s="225">
        <f>IF(F25=0,NA(),IF(F25&gt;F26,PI()/32*(F25^4-F26^4)/F25,NA()))</f>
        <v>1267.9944798773324</v>
      </c>
      <c r="H204" s="7"/>
    </row>
    <row r="205" spans="1:8" ht="12.75">
      <c r="A205" s="7"/>
      <c r="B205" s="89" t="s">
        <v>98</v>
      </c>
      <c r="C205" s="45"/>
      <c r="D205" s="165"/>
      <c r="E205" s="221" t="e">
        <f>IF(D25=0,NA(),IF(D25&gt;D26,PI()/16*(D25^4-D26^4)/D25,NA()))</f>
        <v>#N/A</v>
      </c>
      <c r="F205" s="231"/>
      <c r="G205" s="225">
        <f>IF(F25=0,NA(),IF(F25&gt;F26,PI()/16*(F25^4-F26^4)/F25,NA()))</f>
        <v>2535.988959754665</v>
      </c>
      <c r="H205" s="7"/>
    </row>
    <row r="206" spans="1:8" ht="12.75">
      <c r="A206" s="7"/>
      <c r="B206" s="89" t="s">
        <v>99</v>
      </c>
      <c r="C206" s="45"/>
      <c r="D206" s="165"/>
      <c r="E206" s="221" t="e">
        <f>IF(D25&gt;D26,0.012*(D25+D26)^3,NA())</f>
        <v>#N/A</v>
      </c>
      <c r="F206" s="231"/>
      <c r="G206" s="225">
        <f>IF(F25&gt;F26,0.012*(F25+F26)^3,NA())</f>
        <v>3609.156</v>
      </c>
      <c r="H206" s="7"/>
    </row>
    <row r="207" spans="1:8" ht="12.75">
      <c r="A207" s="7"/>
      <c r="B207" s="89" t="s">
        <v>100</v>
      </c>
      <c r="C207" s="45"/>
      <c r="D207" s="165"/>
      <c r="E207" s="221" t="e">
        <f>IF(D25&gt;D26,PI()/16*D26^3,NA())</f>
        <v>#N/A</v>
      </c>
      <c r="F207" s="231"/>
      <c r="G207" s="225">
        <f>IF(F25&gt;F26,PI()/16*F26^3,NA())</f>
        <v>6433.981754551896</v>
      </c>
      <c r="H207" s="7"/>
    </row>
    <row r="208" spans="1:8" ht="12.75">
      <c r="A208" s="7"/>
      <c r="B208" s="89" t="s">
        <v>101</v>
      </c>
      <c r="C208" s="45"/>
      <c r="D208" s="165"/>
      <c r="E208" s="221" t="e">
        <f>IF(D25&gt;D26,0.012*(D25+D26)^3,NA())</f>
        <v>#N/A</v>
      </c>
      <c r="F208" s="231"/>
      <c r="G208" s="225">
        <f>IF(F25&gt;F26,0.012*(F25+F26)^3,NA())</f>
        <v>3609.156</v>
      </c>
      <c r="H208" s="7"/>
    </row>
    <row r="209" spans="1:8" ht="12.75">
      <c r="A209" s="7"/>
      <c r="B209" s="89" t="s">
        <v>102</v>
      </c>
      <c r="C209" s="45"/>
      <c r="D209" s="165"/>
      <c r="E209" s="221" t="e">
        <f>IF(D25&gt;D26,0.024*(D25+D26)^3,NA())</f>
        <v>#N/A</v>
      </c>
      <c r="F209" s="231"/>
      <c r="G209" s="225">
        <f>IF(F25&gt;F26,0.024*(F25+F26)^3,NA())</f>
        <v>7218.312</v>
      </c>
      <c r="H209" s="7"/>
    </row>
    <row r="210" spans="1:8" ht="12.75">
      <c r="A210" s="7"/>
      <c r="B210" s="89" t="s">
        <v>103</v>
      </c>
      <c r="C210" s="45"/>
      <c r="D210" s="165"/>
      <c r="E210" s="221">
        <f>IF(D24=1,E202,IF(D24=2,E204,IF(D24=3,E206,IF(D24=4,E208,0))))</f>
        <v>4209.243281958199</v>
      </c>
      <c r="F210" s="231"/>
      <c r="G210" s="225">
        <f>IF(F24=1,G202,IF(F24=2,G204,IF(F24=3,G206,IF(F24=4,G208,0))))</f>
        <v>1267.9944798773324</v>
      </c>
      <c r="H210" s="7"/>
    </row>
    <row r="211" spans="1:8" ht="13.5" thickBot="1">
      <c r="A211" s="7"/>
      <c r="B211" s="118" t="s">
        <v>104</v>
      </c>
      <c r="C211" s="226"/>
      <c r="D211" s="229"/>
      <c r="E211" s="227">
        <f>IF(D24=1,E203,IF(D24=2,E205,IF(D24=3,E207,IF(D24=4,E209,0))))</f>
        <v>8418.486563916398</v>
      </c>
      <c r="F211" s="232"/>
      <c r="G211" s="228">
        <f>IF(F24=1,G203,IF(F24=2,G205,IF(F24=3,G207,IF(F24=4,G209,0))))</f>
        <v>2535.988959754665</v>
      </c>
      <c r="H211" s="7"/>
    </row>
    <row r="212" spans="1:8" ht="13.5" thickBot="1">
      <c r="A212" s="7"/>
      <c r="B212" s="246" t="s">
        <v>105</v>
      </c>
      <c r="C212" s="247"/>
      <c r="D212" s="248"/>
      <c r="E212" s="249"/>
      <c r="F212" s="248"/>
      <c r="G212" s="250"/>
      <c r="H212" s="7"/>
    </row>
    <row r="213" spans="1:8" ht="12.75">
      <c r="A213" s="7"/>
      <c r="B213" s="89" t="s">
        <v>106</v>
      </c>
      <c r="C213" s="45"/>
      <c r="D213" s="165"/>
      <c r="E213" s="221">
        <f>((E219*D38)/((1+E200)*(1/(1+E200)-(1-E219)/(2-E219))))</f>
        <v>235.00078333594445</v>
      </c>
      <c r="F213" s="231"/>
      <c r="G213" s="225">
        <f>((G219*F38)/((1+G200)*(1/(1+G200)-(1-G219)/(2-G219))))</f>
        <v>233.07299999999998</v>
      </c>
      <c r="H213" s="7"/>
    </row>
    <row r="214" spans="1:8" ht="12.75">
      <c r="A214" s="7"/>
      <c r="B214" s="89" t="s">
        <v>107</v>
      </c>
      <c r="C214" s="45"/>
      <c r="D214" s="165"/>
      <c r="E214" s="221">
        <f>(E223*D39)</f>
        <v>377.6</v>
      </c>
      <c r="F214" s="231"/>
      <c r="G214" s="225">
        <f>(G223*F39)</f>
        <v>188.8</v>
      </c>
      <c r="H214" s="7"/>
    </row>
    <row r="215" spans="1:8" ht="12.75">
      <c r="A215" s="7"/>
      <c r="B215" s="89" t="s">
        <v>108</v>
      </c>
      <c r="C215" s="45"/>
      <c r="D215" s="165"/>
      <c r="E215" s="221">
        <f>(E223*D39)</f>
        <v>377.6</v>
      </c>
      <c r="F215" s="231"/>
      <c r="G215" s="225">
        <f>(G223*F39)</f>
        <v>188.8</v>
      </c>
      <c r="H215" s="7"/>
    </row>
    <row r="216" spans="1:8" ht="12.75">
      <c r="A216" s="7"/>
      <c r="B216" s="89" t="s">
        <v>109</v>
      </c>
      <c r="C216" s="45"/>
      <c r="D216" s="165"/>
      <c r="E216" s="233">
        <f>IF(E197=1,0.45,IF(E197=2,0.5,IF(E197=3,0.29,#VALUE!)))</f>
        <v>0.5</v>
      </c>
      <c r="F216" s="235"/>
      <c r="G216" s="234">
        <f>IF(G197=1,0.45,IF(G197=2,0.5,IF(G197=3,0.29,#VALUE!)))</f>
        <v>0.29</v>
      </c>
      <c r="H216" s="7"/>
    </row>
    <row r="217" spans="1:8" ht="12.75">
      <c r="A217" s="7"/>
      <c r="B217" s="89" t="s">
        <v>110</v>
      </c>
      <c r="C217" s="45"/>
      <c r="D217" s="165"/>
      <c r="E217" s="233">
        <f>IF(E197=1,0.45,IF(E197=2,0.48,IF(E197=3,0.29,#VALUE!)))</f>
        <v>0.48</v>
      </c>
      <c r="F217" s="235"/>
      <c r="G217" s="234">
        <f>IF(G197=1,0.45,IF(G197=2,0.48,IF(G197=3,0.29,#VALUE!)))</f>
        <v>0.29</v>
      </c>
      <c r="H217" s="7"/>
    </row>
    <row r="218" spans="1:8" ht="12.75">
      <c r="A218" s="7"/>
      <c r="B218" s="89" t="s">
        <v>111</v>
      </c>
      <c r="C218" s="45"/>
      <c r="D218" s="165"/>
      <c r="E218" s="233">
        <f>IF(E197=1,0.4,IF(E197=2,0.43,IF(E197=3,0.23,#VALUE!)))</f>
        <v>0.43</v>
      </c>
      <c r="F218" s="235"/>
      <c r="G218" s="234">
        <f>IF(G197=1,0.4,IF(G197=2,0.43,IF(G197=3,0.23,#VALUE!)))</f>
        <v>0.23</v>
      </c>
      <c r="H218" s="7"/>
    </row>
    <row r="219" spans="1:8" ht="12.75">
      <c r="A219" s="7"/>
      <c r="B219" s="89" t="s">
        <v>112</v>
      </c>
      <c r="C219" s="45"/>
      <c r="D219" s="165"/>
      <c r="E219" s="233">
        <f>IF(D37=1,E216,IF(D37=2,E217,IF(D37=3,E218,#VALUE!)))</f>
        <v>0.5</v>
      </c>
      <c r="F219" s="235"/>
      <c r="G219" s="234">
        <f>IF(F37=1,G216,IF(F37=2,G217,IF(F37=3,G218,#VALUE!)))</f>
        <v>0.29</v>
      </c>
      <c r="H219" s="7"/>
    </row>
    <row r="220" spans="1:8" ht="12.75">
      <c r="A220" s="7"/>
      <c r="B220" s="89" t="s">
        <v>113</v>
      </c>
      <c r="C220" s="45"/>
      <c r="D220" s="165"/>
      <c r="E220" s="233">
        <f>IF(E197=1,1,IF(E197=2,1.28,IF(E197=3,0.64,#VALUE!)))</f>
        <v>1.28</v>
      </c>
      <c r="F220" s="235"/>
      <c r="G220" s="234">
        <f>IF(G197=1,1,IF(G197=2,1.28,IF(G197=3,0.64,#VALUE!)))</f>
        <v>0.64</v>
      </c>
      <c r="H220" s="7"/>
    </row>
    <row r="221" spans="1:8" ht="12.75">
      <c r="A221" s="7"/>
      <c r="B221" s="89" t="s">
        <v>114</v>
      </c>
      <c r="C221" s="45"/>
      <c r="D221" s="165"/>
      <c r="E221" s="233">
        <f>IF(E197=1,1,IF(E197=2,1.2,IF(E197=3,0.6,#VALUE!)))</f>
        <v>1.2</v>
      </c>
      <c r="F221" s="235"/>
      <c r="G221" s="234">
        <f>IF(G197=1,1,IF(G197=2,1.2,IF(G197=3,0.6,#VALUE!)))</f>
        <v>0.6</v>
      </c>
      <c r="H221" s="7"/>
    </row>
    <row r="222" spans="1:8" ht="12.75">
      <c r="A222" s="7"/>
      <c r="B222" s="89" t="s">
        <v>115</v>
      </c>
      <c r="C222" s="45"/>
      <c r="D222" s="165"/>
      <c r="E222" s="233">
        <f>IF(E197=1,1,IF(E197=2,1.22,IF(E197=3,0.62,#VALUE!)))</f>
        <v>1.22</v>
      </c>
      <c r="F222" s="235"/>
      <c r="G222" s="234">
        <f>IF(G197=1,1,IF(G197=2,1.22,IF(G197=3,0.62,#VALUE!)))</f>
        <v>0.62</v>
      </c>
      <c r="H222" s="7"/>
    </row>
    <row r="223" spans="1:8" ht="12.75">
      <c r="A223" s="7"/>
      <c r="B223" s="89" t="s">
        <v>116</v>
      </c>
      <c r="C223" s="45"/>
      <c r="D223" s="165"/>
      <c r="E223" s="233">
        <f>IF(D37=1,E220,IF(D37=2,E221,IF(D37=3,E222,#VALUE!)))</f>
        <v>1.28</v>
      </c>
      <c r="F223" s="235"/>
      <c r="G223" s="234">
        <f>IF(F37=1,G220,IF(F37=2,G221,IF(F37=3,G222,#VALUE!)))</f>
        <v>0.64</v>
      </c>
      <c r="H223" s="7"/>
    </row>
    <row r="224" spans="1:8" ht="12.75">
      <c r="A224" s="7"/>
      <c r="B224" s="89" t="s">
        <v>117</v>
      </c>
      <c r="C224" s="45"/>
      <c r="D224" s="165"/>
      <c r="E224" s="221">
        <f>E223*D39</f>
        <v>377.6</v>
      </c>
      <c r="F224" s="231"/>
      <c r="G224" s="225">
        <f>G223*F39</f>
        <v>188.8</v>
      </c>
      <c r="H224" s="7"/>
    </row>
    <row r="225" spans="1:8" ht="12.75">
      <c r="A225" s="7"/>
      <c r="B225" s="89" t="s">
        <v>118</v>
      </c>
      <c r="C225" s="45"/>
      <c r="D225" s="165"/>
      <c r="E225" s="221">
        <f>(+D38*E219)/(0.000001*(1/0.000001-(1-E219)/(2-E219)))</f>
        <v>235.00007833335945</v>
      </c>
      <c r="F225" s="231"/>
      <c r="G225" s="225">
        <f>(+F38*G219)/(0.000001*(1/0.000001-(1-G219)/(2-G219)))</f>
        <v>136.30005659242113</v>
      </c>
      <c r="H225" s="7"/>
    </row>
    <row r="226" spans="1:8" ht="13.5" thickBot="1">
      <c r="A226" s="7"/>
      <c r="B226" s="118" t="s">
        <v>119</v>
      </c>
      <c r="C226" s="226"/>
      <c r="D226" s="229"/>
      <c r="E226" s="227">
        <f>ROUND((+D38*E219)/(1*(1/1-(1-E219)/(2-E219))),0)</f>
        <v>353</v>
      </c>
      <c r="F226" s="232"/>
      <c r="G226" s="228">
        <f>ROUND((+F38*G219)/(1*(1/1-(1-G219)/(2-G219))),0)</f>
        <v>233</v>
      </c>
      <c r="H226" s="7"/>
    </row>
    <row r="227" spans="1:8" ht="12.75">
      <c r="A227" s="7"/>
      <c r="B227" s="242" t="s">
        <v>120</v>
      </c>
      <c r="C227" s="243"/>
      <c r="D227" s="150"/>
      <c r="E227" s="244"/>
      <c r="F227" s="150"/>
      <c r="G227" s="245"/>
      <c r="H227" s="7"/>
    </row>
    <row r="228" spans="1:8" ht="12.75">
      <c r="A228" s="7"/>
      <c r="B228" s="89" t="s">
        <v>121</v>
      </c>
      <c r="C228" s="45"/>
      <c r="D228" s="165"/>
      <c r="E228" s="236">
        <f>1-0.22*LOG10(D43)*(LOG10(D38/20)-1)</f>
        <v>0.9017017498657809</v>
      </c>
      <c r="F228" s="240"/>
      <c r="G228" s="237">
        <f>1-0.22*LOG10(F43)*(LOG10(F38/20)-1)</f>
        <v>0.9347458904391718</v>
      </c>
      <c r="H228" s="7"/>
    </row>
    <row r="229" spans="1:8" ht="12.75">
      <c r="A229" s="7"/>
      <c r="B229" s="89" t="s">
        <v>122</v>
      </c>
      <c r="C229" s="45"/>
      <c r="D229" s="165"/>
      <c r="E229" s="236">
        <f>0.575*E228+0.425</f>
        <v>0.9434785061728241</v>
      </c>
      <c r="F229" s="240"/>
      <c r="G229" s="237">
        <f>0.575*G228+0.425</f>
        <v>0.9624788870025239</v>
      </c>
      <c r="H229" s="7"/>
    </row>
    <row r="230" spans="1:8" ht="12.75">
      <c r="A230" s="7"/>
      <c r="B230" s="89" t="s">
        <v>123</v>
      </c>
      <c r="C230" s="45"/>
      <c r="D230" s="165"/>
      <c r="E230" s="236">
        <f>IF(E197=1,E228,IF(E197=2,E228,IF(E197=3,E229,#VALUE!)))</f>
        <v>0.9017017498657809</v>
      </c>
      <c r="F230" s="240"/>
      <c r="G230" s="237">
        <f>IF(G197=1,G228,IF(G197=2,G228,IF(G197=3,G229,#VALUE!)))</f>
        <v>0.9624788870025239</v>
      </c>
      <c r="H230" s="7"/>
    </row>
    <row r="231" spans="1:8" ht="12.75">
      <c r="A231" s="7"/>
      <c r="B231" s="89" t="s">
        <v>124</v>
      </c>
      <c r="C231" s="45"/>
      <c r="D231" s="165"/>
      <c r="E231" s="236">
        <f>IF(E230&lt;=0.75,0.75,E230)</f>
        <v>0.9017017498657809</v>
      </c>
      <c r="F231" s="240"/>
      <c r="G231" s="237">
        <f>IF(G230&lt;=0.75,0.75,G230)</f>
        <v>0.9624788870025239</v>
      </c>
      <c r="H231" s="7"/>
    </row>
    <row r="232" spans="1:8" ht="12.75">
      <c r="A232" s="7"/>
      <c r="B232" s="89" t="s">
        <v>125</v>
      </c>
      <c r="C232" s="45"/>
      <c r="D232" s="165"/>
      <c r="E232" s="236">
        <v>1</v>
      </c>
      <c r="F232" s="240"/>
      <c r="G232" s="237">
        <v>1</v>
      </c>
      <c r="H232" s="7"/>
    </row>
    <row r="233" spans="1:8" ht="12.75">
      <c r="A233" s="7"/>
      <c r="B233" s="89" t="s">
        <v>126</v>
      </c>
      <c r="C233" s="45"/>
      <c r="D233" s="165"/>
      <c r="E233" s="236">
        <f>1-0.25*LOG10(E42/7.5)/LOG10(20)</f>
        <v>0.8714467031528454</v>
      </c>
      <c r="F233" s="240"/>
      <c r="G233" s="237">
        <f>1-0.25*LOG10(G42/7.5)/LOG10(20)</f>
        <v>0.8714467031528454</v>
      </c>
      <c r="H233" s="7"/>
    </row>
    <row r="234" spans="1:8" ht="12.75">
      <c r="A234" s="7"/>
      <c r="B234" s="89" t="s">
        <v>127</v>
      </c>
      <c r="C234" s="45"/>
      <c r="D234" s="165"/>
      <c r="E234" s="236">
        <f>IF(D37=1,1,IF(D37=2,E233,IF(D37=3,E233,#VALUE!)))</f>
        <v>1</v>
      </c>
      <c r="F234" s="240"/>
      <c r="G234" s="237">
        <f>IF(F37=1,1,IF(F37=2,G233,IF(F37=3,G233,#VALUE!)))</f>
        <v>1</v>
      </c>
      <c r="H234" s="7"/>
    </row>
    <row r="235" spans="1:8" ht="12.75">
      <c r="A235" s="7"/>
      <c r="B235" s="89" t="s">
        <v>128</v>
      </c>
      <c r="C235" s="45"/>
      <c r="D235" s="165"/>
      <c r="E235" s="236">
        <f>IF(E42&lt;8,1,IF(E234&lt;=0.75,0.75,E234))</f>
        <v>1</v>
      </c>
      <c r="F235" s="240"/>
      <c r="G235" s="237">
        <f>IF(G234&lt;=0.75,0.75,G234)</f>
        <v>1</v>
      </c>
      <c r="H235" s="7"/>
    </row>
    <row r="236" spans="1:8" ht="12.75">
      <c r="A236" s="7"/>
      <c r="B236" s="89" t="s">
        <v>129</v>
      </c>
      <c r="C236" s="45"/>
      <c r="D236" s="165"/>
      <c r="E236" s="236">
        <v>1</v>
      </c>
      <c r="F236" s="240"/>
      <c r="G236" s="237">
        <v>1</v>
      </c>
      <c r="H236" s="7"/>
    </row>
    <row r="237" spans="1:8" ht="12.75">
      <c r="A237" s="7"/>
      <c r="B237" s="89" t="s">
        <v>130</v>
      </c>
      <c r="C237" s="45"/>
      <c r="D237" s="165"/>
      <c r="E237" s="236">
        <f>1-0.2*LOG10(E42/7.5)/LOG10(20)</f>
        <v>0.8971573625222764</v>
      </c>
      <c r="F237" s="240"/>
      <c r="G237" s="237">
        <f>1-0.2*LOG10(G42/7.5)/LOG10(20)</f>
        <v>0.8971573625222764</v>
      </c>
      <c r="H237" s="7"/>
    </row>
    <row r="238" spans="1:8" ht="12.75">
      <c r="A238" s="7"/>
      <c r="B238" s="89" t="s">
        <v>131</v>
      </c>
      <c r="C238" s="45"/>
      <c r="D238" s="165"/>
      <c r="E238" s="236">
        <f>IF(E197=1,1,IF(E197=2,E237,IF(E197=3,E237,#VALUE!)))</f>
        <v>0.8971573625222764</v>
      </c>
      <c r="F238" s="240"/>
      <c r="G238" s="237">
        <f>IF(G197=1,1,IF(G197=2,G237,IF(G197=3,G237,#VALUE!)))</f>
        <v>0.8971573625222764</v>
      </c>
      <c r="H238" s="7"/>
    </row>
    <row r="239" spans="1:8" ht="12.75">
      <c r="A239" s="7"/>
      <c r="B239" s="89" t="s">
        <v>132</v>
      </c>
      <c r="C239" s="45"/>
      <c r="D239" s="165"/>
      <c r="E239" s="236">
        <f>IF(E42&lt;8,1,IF(E238&lt;=0.75,0.75,E238))</f>
        <v>0.8971573625222764</v>
      </c>
      <c r="F239" s="240"/>
      <c r="G239" s="237">
        <f>IF(G238&lt;=0.75,0.75,G238)</f>
        <v>0.8971573625222764</v>
      </c>
      <c r="H239" s="7"/>
    </row>
    <row r="240" spans="1:8" ht="12.75">
      <c r="A240" s="7"/>
      <c r="B240" s="89" t="s">
        <v>133</v>
      </c>
      <c r="C240" s="45"/>
      <c r="D240" s="165"/>
      <c r="E240" s="236">
        <f>IF(E42&lt;8,1,1-0.2*LOG10(D44)*LOG10(E42/7.5)/LOG10(20))</f>
        <v>0.9818903104819406</v>
      </c>
      <c r="F240" s="240"/>
      <c r="G240" s="237">
        <f>1-0.2*LOG10(F44)*LOG10(G42/7.5)/LOG10(20)</f>
        <v>0.9818903104819406</v>
      </c>
      <c r="H240" s="7"/>
    </row>
    <row r="241" spans="1:8" ht="13.5" thickBot="1">
      <c r="A241" s="7"/>
      <c r="B241" s="118" t="s">
        <v>134</v>
      </c>
      <c r="C241" s="226"/>
      <c r="D241" s="229"/>
      <c r="E241" s="238">
        <f>E235*E239*E240</f>
        <v>0.8809101212381569</v>
      </c>
      <c r="F241" s="241"/>
      <c r="G241" s="239">
        <f>G235*G239*G240</f>
        <v>0.8809101212381569</v>
      </c>
      <c r="H241" s="7"/>
    </row>
    <row r="242" spans="1:8" ht="12.75">
      <c r="A242" s="7"/>
      <c r="B242" s="7"/>
      <c r="C242" s="7"/>
      <c r="D242" s="7"/>
      <c r="E242" s="7"/>
      <c r="F242" s="7"/>
      <c r="G242" s="7"/>
      <c r="H242" s="7"/>
    </row>
    <row r="243" spans="1:8" ht="12.75">
      <c r="A243" s="7"/>
      <c r="B243" s="7"/>
      <c r="C243" s="7"/>
      <c r="D243" s="7"/>
      <c r="E243" s="7"/>
      <c r="F243" s="7"/>
      <c r="G243" s="7"/>
      <c r="H243" s="7"/>
    </row>
    <row r="244" spans="1:8" ht="12.75">
      <c r="A244" s="7"/>
      <c r="B244" s="7"/>
      <c r="C244" s="7"/>
      <c r="D244" s="7"/>
      <c r="E244" s="7"/>
      <c r="F244" s="7"/>
      <c r="G244" s="7"/>
      <c r="H244" s="7"/>
    </row>
  </sheetData>
  <sheetProtection sheet="1" objects="1" scenarios="1"/>
  <printOptions/>
  <pageMargins left="1.62" right="0.38" top="1" bottom="1" header="0.511811023" footer="0.511811023"/>
  <pageSetup orientation="portrait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showGridLines="0" workbookViewId="0" topLeftCell="A1">
      <selection activeCell="D12" sqref="D12"/>
    </sheetView>
  </sheetViews>
  <sheetFormatPr defaultColWidth="11.421875" defaultRowHeight="12.75"/>
  <sheetData>
    <row r="2" spans="1:7" ht="12.75">
      <c r="A2" s="73"/>
      <c r="B2" s="74"/>
      <c r="C2" s="74"/>
      <c r="D2" s="74"/>
      <c r="E2" s="74"/>
      <c r="F2" s="73"/>
      <c r="G2" s="11"/>
    </row>
    <row r="3" spans="1:7" ht="12.75">
      <c r="A3" s="73"/>
      <c r="B3" s="74"/>
      <c r="C3" s="74"/>
      <c r="D3" s="74"/>
      <c r="E3" s="74"/>
      <c r="F3" s="73"/>
      <c r="G3" s="11"/>
    </row>
    <row r="4" spans="1:7" ht="12.75">
      <c r="A4" s="73"/>
      <c r="B4" s="75"/>
      <c r="C4" s="76"/>
      <c r="D4" s="76"/>
      <c r="E4" s="76"/>
      <c r="F4" s="73"/>
      <c r="G4" s="11"/>
    </row>
    <row r="5" spans="1:7" ht="12.75">
      <c r="A5" s="73"/>
      <c r="B5" s="74"/>
      <c r="C5" s="77"/>
      <c r="D5" s="77"/>
      <c r="E5" s="77"/>
      <c r="F5" s="73"/>
      <c r="G5" s="11"/>
    </row>
    <row r="6" spans="1:7" ht="12.75">
      <c r="A6" s="73"/>
      <c r="B6" s="74"/>
      <c r="C6" s="77"/>
      <c r="D6" s="77"/>
      <c r="E6" s="77"/>
      <c r="F6" s="73"/>
      <c r="G6" s="11"/>
    </row>
    <row r="7" spans="1:7" ht="12.75">
      <c r="A7" s="73"/>
      <c r="B7" s="77"/>
      <c r="C7" s="77"/>
      <c r="D7" s="77"/>
      <c r="E7" s="77"/>
      <c r="F7" s="73"/>
      <c r="G7" s="11"/>
    </row>
    <row r="8" spans="1:7" ht="12.75">
      <c r="A8" s="11"/>
      <c r="B8" s="11"/>
      <c r="C8" s="11"/>
      <c r="D8" s="11"/>
      <c r="E8" s="11"/>
      <c r="F8" s="11"/>
      <c r="G8" s="11"/>
    </row>
  </sheetData>
  <sheetProtection sheet="1" objects="1" scenarios="1"/>
  <printOptions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0"/>
  <sheetViews>
    <sheetView showGridLines="0" workbookViewId="0" topLeftCell="A1">
      <selection activeCell="C20" sqref="C20"/>
    </sheetView>
  </sheetViews>
  <sheetFormatPr defaultColWidth="11.421875" defaultRowHeight="12.75"/>
  <cols>
    <col min="1" max="9" width="9.7109375" style="0" customWidth="1"/>
  </cols>
  <sheetData>
    <row r="2" spans="1:5" ht="12.75">
      <c r="A2" s="11"/>
      <c r="B2" s="11"/>
      <c r="C2" s="11"/>
      <c r="D2" s="11"/>
      <c r="E2" s="11"/>
    </row>
    <row r="3" spans="1:8" ht="12.75">
      <c r="A3" s="11"/>
      <c r="B3" s="11"/>
      <c r="C3" s="11"/>
      <c r="D3" s="11"/>
      <c r="E3" s="43"/>
      <c r="F3" s="43"/>
      <c r="G3" s="43"/>
      <c r="H3" s="43"/>
    </row>
    <row r="4" spans="1:8" ht="12.75">
      <c r="A4" s="11"/>
      <c r="B4" s="11"/>
      <c r="C4" s="11"/>
      <c r="D4" s="11"/>
      <c r="E4" s="43"/>
      <c r="F4" s="44"/>
      <c r="G4" s="45"/>
      <c r="H4" s="45"/>
    </row>
    <row r="5" spans="1:8" ht="12.75">
      <c r="A5" s="11"/>
      <c r="B5" s="11"/>
      <c r="C5" s="11"/>
      <c r="D5" s="11"/>
      <c r="E5" s="43"/>
      <c r="F5" s="45"/>
      <c r="G5" s="45"/>
      <c r="H5" s="45"/>
    </row>
    <row r="6" spans="1:8" ht="12.75">
      <c r="A6" s="11"/>
      <c r="B6" s="11"/>
      <c r="C6" s="11"/>
      <c r="D6" s="11"/>
      <c r="E6" s="43"/>
      <c r="F6" s="45"/>
      <c r="G6" s="45"/>
      <c r="H6" s="45"/>
    </row>
    <row r="7" spans="1:8" ht="12.75">
      <c r="A7" s="11"/>
      <c r="B7" s="11"/>
      <c r="C7" s="11"/>
      <c r="D7" s="11"/>
      <c r="E7" s="43"/>
      <c r="F7" s="45"/>
      <c r="G7" s="45"/>
      <c r="H7" s="45"/>
    </row>
    <row r="8" spans="1:8" ht="12.75">
      <c r="A8" s="11"/>
      <c r="B8" s="11"/>
      <c r="C8" s="11"/>
      <c r="D8" s="11"/>
      <c r="E8" s="43"/>
      <c r="F8" s="45"/>
      <c r="G8" s="45"/>
      <c r="H8" s="45"/>
    </row>
    <row r="9" spans="1:8" ht="12.75">
      <c r="A9" s="11"/>
      <c r="B9" s="11"/>
      <c r="C9" s="11"/>
      <c r="D9" s="11"/>
      <c r="E9" s="43"/>
      <c r="F9" s="45"/>
      <c r="G9" s="45"/>
      <c r="H9" s="45"/>
    </row>
    <row r="10" spans="1:8" ht="12.75">
      <c r="A10" s="11"/>
      <c r="B10" s="11"/>
      <c r="C10" s="11"/>
      <c r="D10" s="11"/>
      <c r="E10" s="43"/>
      <c r="F10" s="44"/>
      <c r="G10" s="45"/>
      <c r="H10" s="45"/>
    </row>
    <row r="11" spans="1:8" ht="12.75">
      <c r="A11" s="11"/>
      <c r="B11" s="11"/>
      <c r="C11" s="11"/>
      <c r="D11" s="11"/>
      <c r="E11" s="43"/>
      <c r="F11" s="45"/>
      <c r="G11" s="45"/>
      <c r="H11" s="45"/>
    </row>
    <row r="12" spans="1:8" ht="12.75">
      <c r="A12" s="11"/>
      <c r="B12" s="11"/>
      <c r="C12" s="11"/>
      <c r="D12" s="11"/>
      <c r="E12" s="43"/>
      <c r="F12" s="45"/>
      <c r="G12" s="45"/>
      <c r="H12" s="45"/>
    </row>
    <row r="13" spans="1:8" ht="12.75">
      <c r="A13" s="11"/>
      <c r="B13" s="11"/>
      <c r="C13" s="11"/>
      <c r="D13" s="11"/>
      <c r="E13" s="43"/>
      <c r="F13" s="45"/>
      <c r="G13" s="45"/>
      <c r="H13" s="45"/>
    </row>
    <row r="14" spans="1:8" ht="12.75">
      <c r="A14" s="11"/>
      <c r="B14" s="11"/>
      <c r="C14" s="11"/>
      <c r="D14" s="11"/>
      <c r="E14" s="43"/>
      <c r="F14" s="45"/>
      <c r="G14" s="45"/>
      <c r="H14" s="45"/>
    </row>
    <row r="15" spans="1:8" ht="12.75">
      <c r="A15" s="11"/>
      <c r="B15" s="11"/>
      <c r="C15" s="11"/>
      <c r="D15" s="11"/>
      <c r="E15" s="43"/>
      <c r="F15" s="45"/>
      <c r="G15" s="45"/>
      <c r="H15" s="45"/>
    </row>
    <row r="16" spans="1:8" ht="12.75">
      <c r="A16" s="11"/>
      <c r="B16" s="11"/>
      <c r="C16" s="11"/>
      <c r="D16" s="11"/>
      <c r="E16" s="43"/>
      <c r="F16" s="45"/>
      <c r="G16" s="45"/>
      <c r="H16" s="45"/>
    </row>
    <row r="17" spans="1:8" ht="12.75">
      <c r="A17" s="11"/>
      <c r="B17" s="11"/>
      <c r="C17" s="11"/>
      <c r="D17" s="11"/>
      <c r="E17" s="43"/>
      <c r="F17" s="45"/>
      <c r="G17" s="45"/>
      <c r="H17" s="45"/>
    </row>
    <row r="18" spans="1:8" ht="12.75">
      <c r="A18" s="11"/>
      <c r="B18" s="11"/>
      <c r="C18" s="11"/>
      <c r="D18" s="11"/>
      <c r="E18" s="43"/>
      <c r="F18" s="43"/>
      <c r="G18" s="43"/>
      <c r="H18" s="43"/>
    </row>
    <row r="19" spans="1:5" ht="12.75">
      <c r="A19" s="11"/>
      <c r="B19" s="11"/>
      <c r="C19" s="11"/>
      <c r="D19" s="11"/>
      <c r="E19" s="11"/>
    </row>
    <row r="20" spans="1:5" ht="12.75">
      <c r="A20" s="11"/>
      <c r="B20" s="11"/>
      <c r="C20" s="11"/>
      <c r="D20" s="11"/>
      <c r="E20" s="11"/>
    </row>
  </sheetData>
  <sheetProtection password="CA99" sheet="1" objects="1" scenarios="1"/>
  <printOptions/>
  <pageMargins left="0.79" right="0.41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B1">
      <selection activeCell="E21" sqref="E21"/>
    </sheetView>
  </sheetViews>
  <sheetFormatPr defaultColWidth="11.421875" defaultRowHeight="12.75"/>
  <cols>
    <col min="1" max="1" width="4.28125" style="0" hidden="1" customWidth="1"/>
    <col min="2" max="2" width="9.00390625" style="0" customWidth="1"/>
  </cols>
  <sheetData/>
  <sheetProtection password="CA99" sheet="1" objects="1" scenarios="1"/>
  <printOptions/>
  <pageMargins left="1.45" right="1.52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M17"/>
  <sheetViews>
    <sheetView showGridLines="0" workbookViewId="0" topLeftCell="A1">
      <selection activeCell="H20" sqref="H20"/>
    </sheetView>
  </sheetViews>
  <sheetFormatPr defaultColWidth="11.421875" defaultRowHeight="12.75"/>
  <cols>
    <col min="1" max="5" width="6.7109375" style="0" customWidth="1"/>
    <col min="6" max="6" width="2.421875" style="0" customWidth="1"/>
    <col min="7" max="7" width="10.140625" style="0" customWidth="1"/>
    <col min="8" max="9" width="6.7109375" style="0" customWidth="1"/>
    <col min="10" max="10" width="2.140625" style="0" customWidth="1"/>
    <col min="11" max="11" width="10.00390625" style="0" customWidth="1"/>
    <col min="12" max="14" width="6.7109375" style="0" customWidth="1"/>
  </cols>
  <sheetData>
    <row r="7" spans="3:13" ht="12.75">
      <c r="C7" s="14" t="s">
        <v>135</v>
      </c>
      <c r="D7" s="15"/>
      <c r="E7" s="16"/>
      <c r="F7" s="12"/>
      <c r="G7" s="14" t="s">
        <v>136</v>
      </c>
      <c r="H7" s="15"/>
      <c r="I7" s="16"/>
      <c r="J7" s="12"/>
      <c r="K7" s="14" t="s">
        <v>137</v>
      </c>
      <c r="L7" s="15"/>
      <c r="M7" s="16"/>
    </row>
    <row r="8" spans="3:13" ht="14.25">
      <c r="C8" s="17"/>
      <c r="D8" s="23" t="s">
        <v>138</v>
      </c>
      <c r="E8" s="24" t="s">
        <v>139</v>
      </c>
      <c r="F8" s="25"/>
      <c r="G8" s="26"/>
      <c r="H8" s="23" t="s">
        <v>138</v>
      </c>
      <c r="I8" s="24" t="s">
        <v>139</v>
      </c>
      <c r="J8" s="25"/>
      <c r="K8" s="26"/>
      <c r="L8" s="23" t="s">
        <v>138</v>
      </c>
      <c r="M8" s="24" t="s">
        <v>139</v>
      </c>
    </row>
    <row r="9" spans="3:13" ht="12.75">
      <c r="C9" s="18" t="s">
        <v>140</v>
      </c>
      <c r="D9" s="27">
        <v>340</v>
      </c>
      <c r="E9" s="28">
        <v>235</v>
      </c>
      <c r="F9" s="13"/>
      <c r="G9" s="19" t="s">
        <v>141</v>
      </c>
      <c r="H9" s="27">
        <v>550</v>
      </c>
      <c r="I9" s="28">
        <v>350</v>
      </c>
      <c r="J9" s="13"/>
      <c r="K9" s="20" t="s">
        <v>142</v>
      </c>
      <c r="L9" s="27">
        <v>640</v>
      </c>
      <c r="M9" s="28">
        <v>390</v>
      </c>
    </row>
    <row r="10" spans="3:13" ht="12.75">
      <c r="C10" s="8" t="s">
        <v>143</v>
      </c>
      <c r="D10" s="27">
        <v>410</v>
      </c>
      <c r="E10" s="28">
        <v>275</v>
      </c>
      <c r="F10" s="12"/>
      <c r="G10" s="8" t="s">
        <v>144</v>
      </c>
      <c r="H10" s="27">
        <v>700</v>
      </c>
      <c r="I10" s="28">
        <v>500</v>
      </c>
      <c r="J10" s="12"/>
      <c r="K10" s="21" t="s">
        <v>145</v>
      </c>
      <c r="L10" s="27">
        <v>740</v>
      </c>
      <c r="M10" s="28">
        <v>440</v>
      </c>
    </row>
    <row r="11" spans="3:13" ht="12.75">
      <c r="C11" s="8" t="s">
        <v>146</v>
      </c>
      <c r="D11" s="27">
        <v>470</v>
      </c>
      <c r="E11" s="28">
        <v>295</v>
      </c>
      <c r="F11" s="12"/>
      <c r="G11" s="8" t="s">
        <v>147</v>
      </c>
      <c r="H11" s="27">
        <v>850</v>
      </c>
      <c r="I11" s="28">
        <v>580</v>
      </c>
      <c r="J11" s="12"/>
      <c r="K11" s="21" t="s">
        <v>148</v>
      </c>
      <c r="L11" s="27">
        <v>780</v>
      </c>
      <c r="M11" s="28">
        <v>510</v>
      </c>
    </row>
    <row r="12" spans="3:13" ht="12.75">
      <c r="C12" s="8" t="s">
        <v>149</v>
      </c>
      <c r="D12" s="27">
        <v>570</v>
      </c>
      <c r="E12" s="28">
        <v>335</v>
      </c>
      <c r="F12" s="12"/>
      <c r="G12" s="8" t="s">
        <v>150</v>
      </c>
      <c r="H12" s="27">
        <v>900</v>
      </c>
      <c r="I12" s="28">
        <v>650</v>
      </c>
      <c r="J12" s="12"/>
      <c r="K12" s="21" t="s">
        <v>151</v>
      </c>
      <c r="L12" s="27">
        <v>880</v>
      </c>
      <c r="M12" s="28">
        <v>635</v>
      </c>
    </row>
    <row r="13" spans="3:13" ht="12.75">
      <c r="C13" s="10" t="s">
        <v>152</v>
      </c>
      <c r="D13" s="29">
        <v>670</v>
      </c>
      <c r="E13" s="30">
        <v>365</v>
      </c>
      <c r="F13" s="12"/>
      <c r="G13" s="8" t="s">
        <v>153</v>
      </c>
      <c r="H13" s="27">
        <v>1000</v>
      </c>
      <c r="I13" s="28">
        <v>800</v>
      </c>
      <c r="J13" s="12"/>
      <c r="K13" s="21" t="s">
        <v>154</v>
      </c>
      <c r="L13" s="27">
        <v>1080</v>
      </c>
      <c r="M13" s="28">
        <v>735</v>
      </c>
    </row>
    <row r="14" spans="3:13" ht="12.75">
      <c r="C14" s="12"/>
      <c r="D14" s="12"/>
      <c r="E14" s="12"/>
      <c r="F14" s="12"/>
      <c r="G14" s="8" t="s">
        <v>155</v>
      </c>
      <c r="H14" s="27">
        <v>900</v>
      </c>
      <c r="I14" s="28">
        <v>700</v>
      </c>
      <c r="J14" s="12"/>
      <c r="K14" s="21" t="s">
        <v>156</v>
      </c>
      <c r="L14" s="27">
        <v>880</v>
      </c>
      <c r="M14" s="28">
        <v>635</v>
      </c>
    </row>
    <row r="15" spans="3:13" ht="12.75">
      <c r="C15" s="12"/>
      <c r="D15" s="12"/>
      <c r="E15" s="12"/>
      <c r="F15" s="12"/>
      <c r="G15" s="8" t="s">
        <v>157</v>
      </c>
      <c r="H15" s="27">
        <v>1100</v>
      </c>
      <c r="I15" s="28">
        <v>900</v>
      </c>
      <c r="J15" s="12"/>
      <c r="K15" s="21" t="s">
        <v>158</v>
      </c>
      <c r="L15" s="27">
        <v>960</v>
      </c>
      <c r="M15" s="28">
        <v>685</v>
      </c>
    </row>
    <row r="16" spans="3:13" ht="12.75">
      <c r="C16" s="12"/>
      <c r="D16" s="12"/>
      <c r="E16" s="12"/>
      <c r="F16" s="12"/>
      <c r="G16" s="8" t="s">
        <v>159</v>
      </c>
      <c r="H16" s="27">
        <v>1100</v>
      </c>
      <c r="I16" s="28">
        <v>900</v>
      </c>
      <c r="J16" s="12"/>
      <c r="K16" s="22" t="s">
        <v>160</v>
      </c>
      <c r="L16" s="29">
        <v>1180</v>
      </c>
      <c r="M16" s="30">
        <v>835</v>
      </c>
    </row>
    <row r="17" spans="3:13" ht="12.75">
      <c r="C17" s="12"/>
      <c r="D17" s="12"/>
      <c r="E17" s="12"/>
      <c r="F17" s="12"/>
      <c r="G17" s="10" t="s">
        <v>161</v>
      </c>
      <c r="H17" s="29">
        <v>1250</v>
      </c>
      <c r="I17" s="30">
        <v>1050</v>
      </c>
      <c r="J17" s="12"/>
      <c r="K17" s="12"/>
      <c r="L17" s="12"/>
      <c r="M17" s="12"/>
    </row>
  </sheetData>
  <sheetProtection sheet="1" objects="1" scenarios="1"/>
  <printOptions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K17"/>
  <sheetViews>
    <sheetView showGridLines="0" workbookViewId="0" topLeftCell="A1">
      <selection activeCell="E20" sqref="E20"/>
    </sheetView>
  </sheetViews>
  <sheetFormatPr defaultColWidth="11.421875" defaultRowHeight="12.75"/>
  <cols>
    <col min="1" max="1" width="3.57421875" style="0" customWidth="1"/>
    <col min="4" max="4" width="12.421875" style="0" customWidth="1"/>
    <col min="8" max="8" width="1.7109375" style="0" customWidth="1"/>
    <col min="11" max="11" width="6.28125" style="0" customWidth="1"/>
  </cols>
  <sheetData>
    <row r="4" ht="13.5" thickBot="1"/>
    <row r="5" spans="2:7" ht="14.25">
      <c r="B5" s="46" t="s">
        <v>162</v>
      </c>
      <c r="C5" s="47"/>
      <c r="D5" s="48"/>
      <c r="E5" s="49" t="s">
        <v>138</v>
      </c>
      <c r="F5" s="50" t="s">
        <v>163</v>
      </c>
      <c r="G5" s="51" t="s">
        <v>164</v>
      </c>
    </row>
    <row r="6" spans="2:7" ht="15" thickBot="1">
      <c r="B6" s="52"/>
      <c r="C6" s="53" t="s">
        <v>165</v>
      </c>
      <c r="D6" s="54"/>
      <c r="E6" s="55" t="s">
        <v>49</v>
      </c>
      <c r="F6" s="54" t="s">
        <v>166</v>
      </c>
      <c r="G6" s="56" t="s">
        <v>167</v>
      </c>
    </row>
    <row r="7" spans="2:11" ht="12.75">
      <c r="B7" s="33" t="s">
        <v>168</v>
      </c>
      <c r="C7" s="9"/>
      <c r="D7" s="9"/>
      <c r="E7" s="38" t="s">
        <v>169</v>
      </c>
      <c r="F7" s="31" t="s">
        <v>170</v>
      </c>
      <c r="G7" s="36" t="s">
        <v>171</v>
      </c>
      <c r="I7" s="42" t="s">
        <v>172</v>
      </c>
      <c r="J7" s="40"/>
      <c r="K7" s="41"/>
    </row>
    <row r="8" spans="2:11" ht="12.75">
      <c r="B8" s="33" t="s">
        <v>173</v>
      </c>
      <c r="C8" s="9"/>
      <c r="D8" s="9"/>
      <c r="E8" s="38" t="s">
        <v>169</v>
      </c>
      <c r="F8" s="31" t="s">
        <v>174</v>
      </c>
      <c r="G8" s="36" t="s">
        <v>175</v>
      </c>
      <c r="I8" s="66" t="s">
        <v>176</v>
      </c>
      <c r="J8" s="67"/>
      <c r="K8" s="68"/>
    </row>
    <row r="9" spans="2:11" ht="15.75">
      <c r="B9" s="33" t="s">
        <v>177</v>
      </c>
      <c r="C9" s="9"/>
      <c r="D9" s="9"/>
      <c r="E9" s="38" t="s">
        <v>178</v>
      </c>
      <c r="F9" s="31" t="s">
        <v>179</v>
      </c>
      <c r="G9" s="36" t="s">
        <v>171</v>
      </c>
      <c r="I9" s="66" t="s">
        <v>180</v>
      </c>
      <c r="J9" s="67"/>
      <c r="K9" s="68"/>
    </row>
    <row r="10" spans="2:11" ht="12.75">
      <c r="B10" s="33" t="s">
        <v>181</v>
      </c>
      <c r="C10" s="9"/>
      <c r="D10" s="9"/>
      <c r="E10" s="38" t="s">
        <v>178</v>
      </c>
      <c r="F10" s="31" t="s">
        <v>182</v>
      </c>
      <c r="G10" s="36" t="s">
        <v>183</v>
      </c>
      <c r="I10" s="66" t="s">
        <v>184</v>
      </c>
      <c r="J10" s="67"/>
      <c r="K10" s="68"/>
    </row>
    <row r="11" spans="2:11" ht="15.75">
      <c r="B11" s="33" t="s">
        <v>185</v>
      </c>
      <c r="C11" s="9"/>
      <c r="D11" s="9"/>
      <c r="E11" s="38" t="s">
        <v>178</v>
      </c>
      <c r="F11" s="31" t="s">
        <v>186</v>
      </c>
      <c r="G11" s="36" t="s">
        <v>187</v>
      </c>
      <c r="I11" s="69" t="s">
        <v>188</v>
      </c>
      <c r="J11" s="67"/>
      <c r="K11" s="68"/>
    </row>
    <row r="12" spans="2:11" ht="12.75">
      <c r="B12" s="33" t="s">
        <v>189</v>
      </c>
      <c r="C12" s="9"/>
      <c r="D12" s="9"/>
      <c r="E12" s="38" t="s">
        <v>178</v>
      </c>
      <c r="F12" s="31" t="s">
        <v>190</v>
      </c>
      <c r="G12" s="36" t="s">
        <v>191</v>
      </c>
      <c r="I12" s="66" t="s">
        <v>192</v>
      </c>
      <c r="J12" s="67"/>
      <c r="K12" s="68"/>
    </row>
    <row r="13" spans="2:11" ht="13.5" thickBot="1">
      <c r="B13" s="33" t="s">
        <v>193</v>
      </c>
      <c r="C13" s="9"/>
      <c r="D13" s="9"/>
      <c r="E13" s="38" t="s">
        <v>178</v>
      </c>
      <c r="F13" s="31" t="s">
        <v>194</v>
      </c>
      <c r="G13" s="36" t="s">
        <v>191</v>
      </c>
      <c r="I13" s="70" t="s">
        <v>195</v>
      </c>
      <c r="J13" s="71"/>
      <c r="K13" s="72"/>
    </row>
    <row r="14" spans="2:7" ht="12.75">
      <c r="B14" s="33" t="s">
        <v>196</v>
      </c>
      <c r="C14" s="9"/>
      <c r="D14" s="9"/>
      <c r="E14" s="38" t="s">
        <v>178</v>
      </c>
      <c r="F14" s="31" t="s">
        <v>197</v>
      </c>
      <c r="G14" s="36" t="s">
        <v>198</v>
      </c>
    </row>
    <row r="15" spans="2:7" ht="12.75">
      <c r="B15" s="33" t="s">
        <v>199</v>
      </c>
      <c r="C15" s="9"/>
      <c r="D15" s="9"/>
      <c r="E15" s="38" t="s">
        <v>178</v>
      </c>
      <c r="F15" s="31" t="s">
        <v>198</v>
      </c>
      <c r="G15" s="36" t="s">
        <v>200</v>
      </c>
    </row>
    <row r="16" spans="2:7" ht="12.75">
      <c r="B16" s="33" t="s">
        <v>201</v>
      </c>
      <c r="C16" s="9"/>
      <c r="D16" s="9"/>
      <c r="E16" s="38" t="s">
        <v>202</v>
      </c>
      <c r="F16" s="31" t="s">
        <v>186</v>
      </c>
      <c r="G16" s="36" t="s">
        <v>203</v>
      </c>
    </row>
    <row r="17" spans="2:7" ht="13.5" thickBot="1">
      <c r="B17" s="34" t="s">
        <v>204</v>
      </c>
      <c r="C17" s="35"/>
      <c r="D17" s="35"/>
      <c r="E17" s="39">
        <v>600</v>
      </c>
      <c r="F17" s="32">
        <v>1.6</v>
      </c>
      <c r="G17" s="37">
        <v>1.4</v>
      </c>
    </row>
  </sheetData>
  <sheetProtection sheet="1" objects="1" scenarios="1"/>
  <printOptions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2001-11-21T23:52:30Z</cp:lastPrinted>
  <dcterms:created xsi:type="dcterms:W3CDTF">2001-11-21T23:53:31Z</dcterms:created>
  <dcterms:modified xsi:type="dcterms:W3CDTF">2001-11-21T23:59:52Z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